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255" windowHeight="7935" tabRatio="754" activeTab="5"/>
  </bookViews>
  <sheets>
    <sheet name="INDEX" sheetId="10" r:id="rId1"/>
    <sheet name="SCHOOL" sheetId="3" r:id="rId2"/>
    <sheet name="STUDENTS" sheetId="2" r:id="rId3"/>
    <sheet name="A-RACHNATMAK" sheetId="1" r:id="rId4"/>
    <sheet name="B-VV" sheetId="4" r:id="rId5"/>
    <sheet name="C-TITLE" sheetId="7" r:id="rId6"/>
    <sheet name="C-PARINAM" sheetId="8" r:id="rId7"/>
    <sheet name="F-PRAGATIPATRAK" sheetId="9" r:id="rId8"/>
  </sheets>
  <definedNames>
    <definedName name="AENG">'A-RACHNATMAK'!$A$214:$BA$255</definedName>
    <definedName name="AGUJ">'A-RACHNATMAK'!$A$4:$BA$45</definedName>
    <definedName name="AHIN">'A-RACHNATMAK'!$A$130:$BA$171</definedName>
    <definedName name="AINDEX">'A-RACHNATMAK'!$B$2:$V$3</definedName>
    <definedName name="AMATH">'A-RACHNATMAK'!$A$46:$BA$87</definedName>
    <definedName name="ASAN">'A-RACHNATMAK'!$A$256:$BA$297</definedName>
    <definedName name="ASCI">'A-RACHNATMAK'!$A$88:$BA$129</definedName>
    <definedName name="ASS">'A-RACHNATMAK'!$A$172:$BA$213</definedName>
    <definedName name="BPAGE1">'B-VV'!$A$1:$AS$43</definedName>
    <definedName name="BPAGE2">'B-VV'!$A$44:$AS$85</definedName>
    <definedName name="DATA">'C-PARINAM'!$A$6:$D$10</definedName>
    <definedName name="DATA1">STUDENTS!$A$4:$AP$14</definedName>
    <definedName name="_xlnm.Print_Area" localSheetId="3">'A-RACHNATMAK'!$A$4:$BA$297</definedName>
    <definedName name="_xlnm.Print_Area" localSheetId="6">'C-PARINAM'!$A$1:$BW$40</definedName>
    <definedName name="_xlnm.Print_Area" localSheetId="7">'F-PRAGATIPATRAK'!$A$3:$AV$139,'F-PRAGATIPATRAK'!$A$140:$X$184</definedName>
    <definedName name="_xlnm.Print_Area" localSheetId="1">SCHOOL!$A$1:$D$9</definedName>
    <definedName name="ROLLNO">'C-PARINAM'!$A$6:$A$40</definedName>
  </definedNames>
  <calcPr calcId="125725"/>
</workbook>
</file>

<file path=xl/calcChain.xml><?xml version="1.0" encoding="utf-8"?>
<calcChain xmlns="http://schemas.openxmlformats.org/spreadsheetml/2006/main">
  <c r="B259" i="1"/>
  <c r="AC259"/>
  <c r="AC217"/>
  <c r="B217"/>
  <c r="B175"/>
  <c r="AC175"/>
  <c r="AC133"/>
  <c r="B133"/>
  <c r="B91"/>
  <c r="AC91"/>
  <c r="AC49"/>
  <c r="B49"/>
  <c r="AC7"/>
  <c r="B7"/>
  <c r="AZ259"/>
  <c r="Y259"/>
  <c r="AZ217"/>
  <c r="Y217"/>
  <c r="AZ175"/>
  <c r="Y175"/>
  <c r="AZ133"/>
  <c r="Y133"/>
  <c r="AZ91"/>
  <c r="Y91"/>
  <c r="AZ49"/>
  <c r="Y49"/>
  <c r="AZ7"/>
  <c r="Y7"/>
  <c r="D7" i="8"/>
  <c r="D8"/>
  <c r="D9"/>
  <c r="D10"/>
  <c r="D11"/>
  <c r="D12"/>
  <c r="D13"/>
  <c r="D14"/>
  <c r="D15"/>
  <c r="D16"/>
  <c r="D17"/>
  <c r="D18"/>
  <c r="D19"/>
  <c r="D20"/>
  <c r="D21"/>
  <c r="D22"/>
  <c r="D23"/>
  <c r="D24"/>
  <c r="D25"/>
  <c r="D26"/>
  <c r="D27"/>
  <c r="D28"/>
  <c r="D29"/>
  <c r="D30"/>
  <c r="D31"/>
  <c r="D32"/>
  <c r="D33"/>
  <c r="D34"/>
  <c r="D35"/>
  <c r="D36"/>
  <c r="D37"/>
  <c r="D38"/>
  <c r="D39"/>
  <c r="D40"/>
  <c r="D6"/>
  <c r="D152" i="9"/>
  <c r="D154"/>
  <c r="D156"/>
  <c r="D157"/>
  <c r="D158"/>
  <c r="D161"/>
  <c r="D163"/>
  <c r="D165"/>
  <c r="D166"/>
  <c r="D167"/>
  <c r="D170"/>
  <c r="D172"/>
  <c r="D174"/>
  <c r="D175"/>
  <c r="D176"/>
  <c r="D149"/>
  <c r="D148"/>
  <c r="D147"/>
  <c r="D145"/>
  <c r="D143"/>
  <c r="C53"/>
  <c r="C98" s="1"/>
  <c r="C89"/>
  <c r="AA89" s="1"/>
  <c r="C86"/>
  <c r="C131" s="1"/>
  <c r="C83"/>
  <c r="C128" s="1"/>
  <c r="C80"/>
  <c r="AA80" s="1"/>
  <c r="C77"/>
  <c r="AA77" s="1"/>
  <c r="C73"/>
  <c r="C118" s="1"/>
  <c r="C69"/>
  <c r="AA69" s="1"/>
  <c r="C65"/>
  <c r="C110" s="1"/>
  <c r="C61"/>
  <c r="C106" s="1"/>
  <c r="C57"/>
  <c r="C102" s="1"/>
  <c r="AO39"/>
  <c r="AI39"/>
  <c r="AC39"/>
  <c r="AA39"/>
  <c r="AO33"/>
  <c r="AI33"/>
  <c r="AC33"/>
  <c r="AA33"/>
  <c r="AB30"/>
  <c r="AB29"/>
  <c r="AB28"/>
  <c r="AB27"/>
  <c r="AB26"/>
  <c r="AB25"/>
  <c r="AB24"/>
  <c r="AB23"/>
  <c r="AB22"/>
  <c r="AB21"/>
  <c r="AI17"/>
  <c r="AI16"/>
  <c r="AB18"/>
  <c r="AB16"/>
  <c r="AB15"/>
  <c r="AB14"/>
  <c r="AB13"/>
  <c r="AB12"/>
  <c r="AB11"/>
  <c r="AB10"/>
  <c r="AB9"/>
  <c r="AB8"/>
  <c r="AB7"/>
  <c r="AB6"/>
  <c r="C9"/>
  <c r="R29"/>
  <c r="K29"/>
  <c r="E29"/>
  <c r="C27"/>
  <c r="C40" i="8"/>
  <c r="C39"/>
  <c r="C38"/>
  <c r="C37"/>
  <c r="C36"/>
  <c r="C35"/>
  <c r="C34"/>
  <c r="C33"/>
  <c r="C32"/>
  <c r="C31"/>
  <c r="C30"/>
  <c r="C29"/>
  <c r="C28"/>
  <c r="C27"/>
  <c r="C26"/>
  <c r="C25"/>
  <c r="C24"/>
  <c r="C23"/>
  <c r="C22"/>
  <c r="C21"/>
  <c r="C20"/>
  <c r="C19"/>
  <c r="C18"/>
  <c r="C17"/>
  <c r="C16"/>
  <c r="C15"/>
  <c r="C14"/>
  <c r="C13"/>
  <c r="C12"/>
  <c r="C11"/>
  <c r="C10"/>
  <c r="C9"/>
  <c r="C8"/>
  <c r="C7"/>
  <c r="C6"/>
  <c r="R18" i="7"/>
  <c r="R17"/>
  <c r="R16"/>
  <c r="R15"/>
  <c r="R14"/>
  <c r="H18"/>
  <c r="H17"/>
  <c r="H16"/>
  <c r="H15"/>
  <c r="H14"/>
  <c r="F24"/>
  <c r="I24"/>
  <c r="I28" s="1"/>
  <c r="L24"/>
  <c r="O24"/>
  <c r="R24"/>
  <c r="U24"/>
  <c r="F25"/>
  <c r="I25"/>
  <c r="L25"/>
  <c r="O25"/>
  <c r="R25"/>
  <c r="U25"/>
  <c r="U28" s="1"/>
  <c r="F26"/>
  <c r="I26"/>
  <c r="L26"/>
  <c r="L28" s="1"/>
  <c r="O26"/>
  <c r="R26"/>
  <c r="U26"/>
  <c r="F27"/>
  <c r="I27"/>
  <c r="L27"/>
  <c r="O27"/>
  <c r="R27"/>
  <c r="U27"/>
  <c r="D28"/>
  <c r="E28"/>
  <c r="G28"/>
  <c r="H28"/>
  <c r="J28"/>
  <c r="K28"/>
  <c r="M28"/>
  <c r="N28"/>
  <c r="P28"/>
  <c r="Q28"/>
  <c r="S28"/>
  <c r="T28"/>
  <c r="V46" i="4"/>
  <c r="B46"/>
  <c r="V2"/>
  <c r="AR85"/>
  <c r="AR84"/>
  <c r="AR83"/>
  <c r="AR82"/>
  <c r="AR81"/>
  <c r="AR80"/>
  <c r="AS80"/>
  <c r="AR79"/>
  <c r="AR78"/>
  <c r="AR77"/>
  <c r="AR76"/>
  <c r="AR75"/>
  <c r="AR74"/>
  <c r="AR73"/>
  <c r="AR72"/>
  <c r="AS72" s="1"/>
  <c r="AR71"/>
  <c r="AR70"/>
  <c r="AR69"/>
  <c r="AS68"/>
  <c r="AR68"/>
  <c r="AR67"/>
  <c r="AR66"/>
  <c r="AS66"/>
  <c r="AR65"/>
  <c r="AR64"/>
  <c r="AR63"/>
  <c r="AR62"/>
  <c r="AS62" s="1"/>
  <c r="AR61"/>
  <c r="AR60"/>
  <c r="AS60" s="1"/>
  <c r="AR59"/>
  <c r="AR58"/>
  <c r="AR57"/>
  <c r="AR56"/>
  <c r="AS56" s="1"/>
  <c r="AR55"/>
  <c r="AR54"/>
  <c r="AR53"/>
  <c r="AR52"/>
  <c r="P3"/>
  <c r="AL3" s="1"/>
  <c r="H3"/>
  <c r="AF3" s="1"/>
  <c r="C3"/>
  <c r="Z3" s="1"/>
  <c r="AR12"/>
  <c r="AR13"/>
  <c r="AR14"/>
  <c r="AR15"/>
  <c r="AS14" s="1"/>
  <c r="AR16"/>
  <c r="AR17"/>
  <c r="AR18"/>
  <c r="AS18"/>
  <c r="AR19"/>
  <c r="AR20"/>
  <c r="AR21"/>
  <c r="AS20" s="1"/>
  <c r="AR22"/>
  <c r="AR23"/>
  <c r="AS22"/>
  <c r="AR24"/>
  <c r="AR25"/>
  <c r="AR26"/>
  <c r="AR27"/>
  <c r="AS26" s="1"/>
  <c r="AR28"/>
  <c r="AR29"/>
  <c r="AR30"/>
  <c r="AS30"/>
  <c r="AR31"/>
  <c r="AR32"/>
  <c r="AR33"/>
  <c r="AR34"/>
  <c r="AR35"/>
  <c r="AR36"/>
  <c r="AR37"/>
  <c r="AS36" s="1"/>
  <c r="AR38"/>
  <c r="AS38" s="1"/>
  <c r="AR39"/>
  <c r="AR40"/>
  <c r="AR41"/>
  <c r="AR42"/>
  <c r="AR43"/>
  <c r="AS42" s="1"/>
  <c r="AR10"/>
  <c r="AR11"/>
  <c r="AR9"/>
  <c r="AR8"/>
  <c r="AS8" s="1"/>
  <c r="AZ297" i="1"/>
  <c r="AY297"/>
  <c r="AX297"/>
  <c r="BA297" s="1"/>
  <c r="BF40" i="8" s="1"/>
  <c r="BI40" s="1"/>
  <c r="BJ40" s="1"/>
  <c r="Y297" i="1"/>
  <c r="X297"/>
  <c r="W297"/>
  <c r="AZ296"/>
  <c r="AY296"/>
  <c r="AX296"/>
  <c r="Y296"/>
  <c r="X296"/>
  <c r="W296"/>
  <c r="Z296" s="1"/>
  <c r="AZ295"/>
  <c r="AY295"/>
  <c r="AX295"/>
  <c r="Y295"/>
  <c r="X295"/>
  <c r="W295"/>
  <c r="AZ294"/>
  <c r="AY294"/>
  <c r="AX294"/>
  <c r="Y294"/>
  <c r="X294"/>
  <c r="W294"/>
  <c r="Z294" s="1"/>
  <c r="BC37" i="8" s="1"/>
  <c r="BI37" s="1"/>
  <c r="BJ37" s="1"/>
  <c r="AZ293" i="1"/>
  <c r="AY293"/>
  <c r="AX293"/>
  <c r="BA293" s="1"/>
  <c r="BF36" i="8" s="1"/>
  <c r="Y293" i="1"/>
  <c r="X293"/>
  <c r="W293"/>
  <c r="AZ292"/>
  <c r="AY292"/>
  <c r="AX292"/>
  <c r="Y292"/>
  <c r="X292"/>
  <c r="W292"/>
  <c r="Z292" s="1"/>
  <c r="BC35" i="8" s="1"/>
  <c r="AZ291" i="1"/>
  <c r="AY291"/>
  <c r="AX291"/>
  <c r="BA291" s="1"/>
  <c r="BF34" i="8" s="1"/>
  <c r="BI34" s="1"/>
  <c r="BJ34" s="1"/>
  <c r="Y291" i="1"/>
  <c r="X291"/>
  <c r="W291"/>
  <c r="AZ290"/>
  <c r="AY290"/>
  <c r="AX290"/>
  <c r="Y290"/>
  <c r="X290"/>
  <c r="W290"/>
  <c r="AZ289"/>
  <c r="AY289"/>
  <c r="AX289"/>
  <c r="BA289" s="1"/>
  <c r="Y289"/>
  <c r="X289"/>
  <c r="W289"/>
  <c r="AZ288"/>
  <c r="AY288"/>
  <c r="AX288"/>
  <c r="Y288"/>
  <c r="X288"/>
  <c r="W288"/>
  <c r="Z288" s="1"/>
  <c r="BC31" i="8" s="1"/>
  <c r="BI31" s="1"/>
  <c r="BJ31" s="1"/>
  <c r="AZ287" i="1"/>
  <c r="AY287"/>
  <c r="AX287"/>
  <c r="BA287" s="1"/>
  <c r="Y287"/>
  <c r="X287"/>
  <c r="W287"/>
  <c r="AZ286"/>
  <c r="AY286"/>
  <c r="AX286"/>
  <c r="Y286"/>
  <c r="X286"/>
  <c r="W286"/>
  <c r="Z286" s="1"/>
  <c r="BC29" i="8" s="1"/>
  <c r="BI29" s="1"/>
  <c r="BJ29" s="1"/>
  <c r="AZ285" i="1"/>
  <c r="AY285"/>
  <c r="AX285"/>
  <c r="BA285" s="1"/>
  <c r="BF28" i="8" s="1"/>
  <c r="BI28" s="1"/>
  <c r="BJ28" s="1"/>
  <c r="Y285" i="1"/>
  <c r="X285"/>
  <c r="W285"/>
  <c r="AZ284"/>
  <c r="AY284"/>
  <c r="AX284"/>
  <c r="Y284"/>
  <c r="X284"/>
  <c r="W284"/>
  <c r="Z284" s="1"/>
  <c r="AZ283"/>
  <c r="AY283"/>
  <c r="AX283"/>
  <c r="BA283" s="1"/>
  <c r="BF26" i="8" s="1"/>
  <c r="BI26" s="1"/>
  <c r="BJ26" s="1"/>
  <c r="Y283" i="1"/>
  <c r="X283"/>
  <c r="W283"/>
  <c r="AZ282"/>
  <c r="AY282"/>
  <c r="AX282"/>
  <c r="Y282"/>
  <c r="X282"/>
  <c r="W282"/>
  <c r="AZ281"/>
  <c r="AY281"/>
  <c r="AX281"/>
  <c r="BA281" s="1"/>
  <c r="Y281"/>
  <c r="X281"/>
  <c r="W281"/>
  <c r="AZ280"/>
  <c r="AY280"/>
  <c r="AX280"/>
  <c r="Y280"/>
  <c r="X280"/>
  <c r="W280"/>
  <c r="Z280" s="1"/>
  <c r="BC23" i="8" s="1"/>
  <c r="BI23" s="1"/>
  <c r="BJ23" s="1"/>
  <c r="AZ279" i="1"/>
  <c r="AY279"/>
  <c r="AX279"/>
  <c r="Y279"/>
  <c r="X279"/>
  <c r="W279"/>
  <c r="AZ278"/>
  <c r="AY278"/>
  <c r="AX278"/>
  <c r="Y278"/>
  <c r="X278"/>
  <c r="W278"/>
  <c r="Z278" s="1"/>
  <c r="BC21" i="8" s="1"/>
  <c r="BI21" s="1"/>
  <c r="BJ21" s="1"/>
  <c r="AZ277" i="1"/>
  <c r="AY277"/>
  <c r="AX277"/>
  <c r="BA277" s="1"/>
  <c r="BF20" i="8" s="1"/>
  <c r="Y277" i="1"/>
  <c r="X277"/>
  <c r="W277"/>
  <c r="AZ276"/>
  <c r="AY276"/>
  <c r="AX276"/>
  <c r="Y276"/>
  <c r="X276"/>
  <c r="W276"/>
  <c r="Z276" s="1"/>
  <c r="BC19" i="8" s="1"/>
  <c r="AZ275" i="1"/>
  <c r="AY275"/>
  <c r="AX275"/>
  <c r="BA275" s="1"/>
  <c r="BF18" i="8" s="1"/>
  <c r="Y275" i="1"/>
  <c r="X275"/>
  <c r="W275"/>
  <c r="AZ274"/>
  <c r="AY274"/>
  <c r="AX274"/>
  <c r="Y274"/>
  <c r="X274"/>
  <c r="W274"/>
  <c r="AZ273"/>
  <c r="AY273"/>
  <c r="AX273"/>
  <c r="BA273" s="1"/>
  <c r="Y273"/>
  <c r="X273"/>
  <c r="W273"/>
  <c r="AZ272"/>
  <c r="AY272"/>
  <c r="AX272"/>
  <c r="Y272"/>
  <c r="X272"/>
  <c r="W272"/>
  <c r="Z272" s="1"/>
  <c r="BC15" i="8" s="1"/>
  <c r="BI15" s="1"/>
  <c r="BJ15" s="1"/>
  <c r="AZ271" i="1"/>
  <c r="AY271"/>
  <c r="AX271"/>
  <c r="BA271" s="1"/>
  <c r="BF14" i="8" s="1"/>
  <c r="Y271" i="1"/>
  <c r="X271"/>
  <c r="W271"/>
  <c r="AZ270"/>
  <c r="AY270"/>
  <c r="AX270"/>
  <c r="Y270"/>
  <c r="X270"/>
  <c r="W270"/>
  <c r="Z270" s="1"/>
  <c r="AZ269"/>
  <c r="AY269"/>
  <c r="AX269"/>
  <c r="BA269" s="1"/>
  <c r="BF12" i="8" s="1"/>
  <c r="BI12" s="1"/>
  <c r="BJ12" s="1"/>
  <c r="Y269" i="1"/>
  <c r="X269"/>
  <c r="W269"/>
  <c r="AZ268"/>
  <c r="AY268"/>
  <c r="AX268"/>
  <c r="Y268"/>
  <c r="X268"/>
  <c r="W268"/>
  <c r="Z268" s="1"/>
  <c r="AZ267"/>
  <c r="AY267"/>
  <c r="AX267"/>
  <c r="BA267" s="1"/>
  <c r="BF10" i="8" s="1"/>
  <c r="Y267" i="1"/>
  <c r="X267"/>
  <c r="W267"/>
  <c r="AZ266"/>
  <c r="AY266"/>
  <c r="AX266"/>
  <c r="Y266"/>
  <c r="X266"/>
  <c r="W266"/>
  <c r="AZ265"/>
  <c r="AY265"/>
  <c r="AX265"/>
  <c r="Y265"/>
  <c r="X265"/>
  <c r="W265"/>
  <c r="AZ264"/>
  <c r="AY264"/>
  <c r="AX264"/>
  <c r="Y264"/>
  <c r="X264"/>
  <c r="W264"/>
  <c r="AZ263"/>
  <c r="AY263"/>
  <c r="AX263"/>
  <c r="Y263"/>
  <c r="X263"/>
  <c r="W263"/>
  <c r="BA265"/>
  <c r="BF8" i="8" s="1"/>
  <c r="AD259" i="1"/>
  <c r="AZ255"/>
  <c r="AY255"/>
  <c r="AX255"/>
  <c r="Y255"/>
  <c r="X255"/>
  <c r="W255"/>
  <c r="AZ254"/>
  <c r="AY254"/>
  <c r="AX254"/>
  <c r="Y254"/>
  <c r="X254"/>
  <c r="W254"/>
  <c r="AZ253"/>
  <c r="AY253"/>
  <c r="AX253"/>
  <c r="Y253"/>
  <c r="X253"/>
  <c r="W253"/>
  <c r="AZ252"/>
  <c r="AY252"/>
  <c r="AX252"/>
  <c r="Y252"/>
  <c r="X252"/>
  <c r="W252"/>
  <c r="AZ251"/>
  <c r="AY251"/>
  <c r="AX251"/>
  <c r="Y251"/>
  <c r="X251"/>
  <c r="W251"/>
  <c r="AZ250"/>
  <c r="AY250"/>
  <c r="AX250"/>
  <c r="Y250"/>
  <c r="X250"/>
  <c r="W250"/>
  <c r="AZ249"/>
  <c r="AY249"/>
  <c r="AX249"/>
  <c r="Y249"/>
  <c r="X249"/>
  <c r="W249"/>
  <c r="AZ248"/>
  <c r="AY248"/>
  <c r="AX248"/>
  <c r="Y248"/>
  <c r="X248"/>
  <c r="W248"/>
  <c r="AZ247"/>
  <c r="AY247"/>
  <c r="AX247"/>
  <c r="Y247"/>
  <c r="X247"/>
  <c r="W247"/>
  <c r="AZ246"/>
  <c r="AY246"/>
  <c r="AX246"/>
  <c r="Y246"/>
  <c r="X246"/>
  <c r="W246"/>
  <c r="AZ245"/>
  <c r="AY245"/>
  <c r="AX245"/>
  <c r="Y245"/>
  <c r="X245"/>
  <c r="W245"/>
  <c r="AZ244"/>
  <c r="AY244"/>
  <c r="AX244"/>
  <c r="Y244"/>
  <c r="X244"/>
  <c r="W244"/>
  <c r="AZ243"/>
  <c r="AY243"/>
  <c r="AX243"/>
  <c r="Y243"/>
  <c r="X243"/>
  <c r="W243"/>
  <c r="AZ242"/>
  <c r="AY242"/>
  <c r="AX242"/>
  <c r="Y242"/>
  <c r="X242"/>
  <c r="W242"/>
  <c r="AZ241"/>
  <c r="AY241"/>
  <c r="AX241"/>
  <c r="Y241"/>
  <c r="X241"/>
  <c r="W241"/>
  <c r="AZ240"/>
  <c r="AY240"/>
  <c r="AX240"/>
  <c r="Y240"/>
  <c r="X240"/>
  <c r="W240"/>
  <c r="AZ239"/>
  <c r="AY239"/>
  <c r="AX239"/>
  <c r="Y239"/>
  <c r="X239"/>
  <c r="W239"/>
  <c r="AZ238"/>
  <c r="AY238"/>
  <c r="AX238"/>
  <c r="Y238"/>
  <c r="X238"/>
  <c r="W238"/>
  <c r="AZ237"/>
  <c r="AY237"/>
  <c r="AX237"/>
  <c r="Y237"/>
  <c r="X237"/>
  <c r="W237"/>
  <c r="AZ236"/>
  <c r="AY236"/>
  <c r="AX236"/>
  <c r="Y236"/>
  <c r="X236"/>
  <c r="W236"/>
  <c r="AZ235"/>
  <c r="AY235"/>
  <c r="AX235"/>
  <c r="Y235"/>
  <c r="X235"/>
  <c r="W235"/>
  <c r="AZ234"/>
  <c r="AY234"/>
  <c r="AX234"/>
  <c r="Y234"/>
  <c r="X234"/>
  <c r="W234"/>
  <c r="AZ233"/>
  <c r="AY233"/>
  <c r="AX233"/>
  <c r="Y233"/>
  <c r="X233"/>
  <c r="W233"/>
  <c r="AZ232"/>
  <c r="AY232"/>
  <c r="AX232"/>
  <c r="Y232"/>
  <c r="X232"/>
  <c r="W232"/>
  <c r="AZ231"/>
  <c r="AY231"/>
  <c r="AX231"/>
  <c r="Y231"/>
  <c r="X231"/>
  <c r="W231"/>
  <c r="Z231" s="1"/>
  <c r="AU16" i="8" s="1"/>
  <c r="BA16" s="1"/>
  <c r="BB16" s="1"/>
  <c r="AZ230" i="1"/>
  <c r="AY230"/>
  <c r="AX230"/>
  <c r="Y230"/>
  <c r="X230"/>
  <c r="W230"/>
  <c r="AZ229"/>
  <c r="AY229"/>
  <c r="AX229"/>
  <c r="Y229"/>
  <c r="X229"/>
  <c r="W229"/>
  <c r="Z229" s="1"/>
  <c r="AU14" i="8" s="1"/>
  <c r="AZ228" i="1"/>
  <c r="AY228"/>
  <c r="AX228"/>
  <c r="BA228" s="1"/>
  <c r="Y228"/>
  <c r="X228"/>
  <c r="W228"/>
  <c r="Z228"/>
  <c r="AU13" i="8" s="1"/>
  <c r="AZ227" i="1"/>
  <c r="AY227"/>
  <c r="AX227"/>
  <c r="Y227"/>
  <c r="X227"/>
  <c r="W227"/>
  <c r="Z227"/>
  <c r="AU12" i="8" s="1"/>
  <c r="AZ226" i="1"/>
  <c r="AY226"/>
  <c r="AX226"/>
  <c r="Y226"/>
  <c r="X226"/>
  <c r="W226"/>
  <c r="Z226"/>
  <c r="AU11" i="8" s="1"/>
  <c r="AZ225" i="1"/>
  <c r="AY225"/>
  <c r="AX225"/>
  <c r="Y225"/>
  <c r="X225"/>
  <c r="W225"/>
  <c r="Z225" s="1"/>
  <c r="AU10" i="8" s="1"/>
  <c r="AZ224" i="1"/>
  <c r="AY224"/>
  <c r="AX224"/>
  <c r="Y224"/>
  <c r="X224"/>
  <c r="W224"/>
  <c r="Z224"/>
  <c r="AU9" i="8" s="1"/>
  <c r="AZ223" i="1"/>
  <c r="AY223"/>
  <c r="AX223"/>
  <c r="BA223" s="1"/>
  <c r="AX8" i="8" s="1"/>
  <c r="Y223" i="1"/>
  <c r="X223"/>
  <c r="W223"/>
  <c r="Z223"/>
  <c r="AU8" i="8"/>
  <c r="AZ222" i="1"/>
  <c r="AY222"/>
  <c r="AX222"/>
  <c r="Y222"/>
  <c r="X222"/>
  <c r="W222"/>
  <c r="Z222"/>
  <c r="AU7" i="8"/>
  <c r="AZ221" i="1"/>
  <c r="AY221"/>
  <c r="AX221"/>
  <c r="Y221"/>
  <c r="X221"/>
  <c r="W221"/>
  <c r="Z221"/>
  <c r="AU6" i="8"/>
  <c r="AD217" i="1"/>
  <c r="AZ213"/>
  <c r="AY213"/>
  <c r="AX213"/>
  <c r="Y213"/>
  <c r="X213"/>
  <c r="W213"/>
  <c r="AZ212"/>
  <c r="AY212"/>
  <c r="AX212"/>
  <c r="Y212"/>
  <c r="X212"/>
  <c r="W212"/>
  <c r="AZ211"/>
  <c r="AY211"/>
  <c r="AX211"/>
  <c r="Y211"/>
  <c r="X211"/>
  <c r="W211"/>
  <c r="AZ210"/>
  <c r="AY210"/>
  <c r="AX210"/>
  <c r="Y210"/>
  <c r="X210"/>
  <c r="W210"/>
  <c r="AZ209"/>
  <c r="AY209"/>
  <c r="AX209"/>
  <c r="Y209"/>
  <c r="X209"/>
  <c r="W209"/>
  <c r="AZ208"/>
  <c r="AY208"/>
  <c r="AX208"/>
  <c r="Y208"/>
  <c r="X208"/>
  <c r="W208"/>
  <c r="AZ207"/>
  <c r="AY207"/>
  <c r="AX207"/>
  <c r="BA207" s="1"/>
  <c r="AG34" i="8" s="1"/>
  <c r="Y207" i="1"/>
  <c r="X207"/>
  <c r="W207"/>
  <c r="AZ206"/>
  <c r="AY206"/>
  <c r="AX206"/>
  <c r="Y206"/>
  <c r="X206"/>
  <c r="W206"/>
  <c r="AZ205"/>
  <c r="AY205"/>
  <c r="AX205"/>
  <c r="Y205"/>
  <c r="X205"/>
  <c r="W205"/>
  <c r="AZ204"/>
  <c r="AY204"/>
  <c r="AX204"/>
  <c r="Y204"/>
  <c r="X204"/>
  <c r="W204"/>
  <c r="AZ203"/>
  <c r="AY203"/>
  <c r="AX203"/>
  <c r="Y203"/>
  <c r="X203"/>
  <c r="W203"/>
  <c r="AZ202"/>
  <c r="AY202"/>
  <c r="AX202"/>
  <c r="Y202"/>
  <c r="X202"/>
  <c r="W202"/>
  <c r="AZ201"/>
  <c r="AY201"/>
  <c r="AX201"/>
  <c r="BA201" s="1"/>
  <c r="Y201"/>
  <c r="X201"/>
  <c r="W201"/>
  <c r="AZ200"/>
  <c r="AY200"/>
  <c r="AX200"/>
  <c r="Y200"/>
  <c r="X200"/>
  <c r="W200"/>
  <c r="AZ199"/>
  <c r="AY199"/>
  <c r="AX199"/>
  <c r="Y199"/>
  <c r="X199"/>
  <c r="W199"/>
  <c r="AZ198"/>
  <c r="AY198"/>
  <c r="AX198"/>
  <c r="Y198"/>
  <c r="X198"/>
  <c r="W198"/>
  <c r="AZ197"/>
  <c r="AY197"/>
  <c r="AX197"/>
  <c r="Y197"/>
  <c r="X197"/>
  <c r="W197"/>
  <c r="AZ196"/>
  <c r="AY196"/>
  <c r="AX196"/>
  <c r="Y196"/>
  <c r="X196"/>
  <c r="W196"/>
  <c r="AZ195"/>
  <c r="AY195"/>
  <c r="AX195"/>
  <c r="Y195"/>
  <c r="X195"/>
  <c r="W195"/>
  <c r="AZ194"/>
  <c r="AY194"/>
  <c r="AX194"/>
  <c r="Y194"/>
  <c r="X194"/>
  <c r="W194"/>
  <c r="AZ193"/>
  <c r="AY193"/>
  <c r="AX193"/>
  <c r="Y193"/>
  <c r="X193"/>
  <c r="W193"/>
  <c r="AZ192"/>
  <c r="AY192"/>
  <c r="AX192"/>
  <c r="Y192"/>
  <c r="X192"/>
  <c r="W192"/>
  <c r="AZ191"/>
  <c r="AY191"/>
  <c r="AX191"/>
  <c r="BA191" s="1"/>
  <c r="AG18" i="8" s="1"/>
  <c r="Y191" i="1"/>
  <c r="X191"/>
  <c r="W191"/>
  <c r="AZ190"/>
  <c r="AY190"/>
  <c r="AX190"/>
  <c r="Y190"/>
  <c r="X190"/>
  <c r="W190"/>
  <c r="AZ189"/>
  <c r="AY189"/>
  <c r="AX189"/>
  <c r="Y189"/>
  <c r="X189"/>
  <c r="W189"/>
  <c r="AZ188"/>
  <c r="AY188"/>
  <c r="AX188"/>
  <c r="Y188"/>
  <c r="X188"/>
  <c r="W188"/>
  <c r="AZ187"/>
  <c r="AY187"/>
  <c r="AX187"/>
  <c r="Y187"/>
  <c r="X187"/>
  <c r="W187"/>
  <c r="AZ186"/>
  <c r="AY186"/>
  <c r="AX186"/>
  <c r="BA186" s="1"/>
  <c r="AG13" i="8"/>
  <c r="Y186" i="1"/>
  <c r="X186"/>
  <c r="W186"/>
  <c r="AZ185"/>
  <c r="AY185"/>
  <c r="AX185"/>
  <c r="Y185"/>
  <c r="X185"/>
  <c r="W185"/>
  <c r="AZ184"/>
  <c r="AY184"/>
  <c r="AX184"/>
  <c r="BA184"/>
  <c r="AG11" i="8" s="1"/>
  <c r="Y184" i="1"/>
  <c r="X184"/>
  <c r="W184"/>
  <c r="Z184" s="1"/>
  <c r="AZ183"/>
  <c r="AY183"/>
  <c r="AX183"/>
  <c r="BA183"/>
  <c r="AG10" i="8" s="1"/>
  <c r="Y183" i="1"/>
  <c r="X183"/>
  <c r="W183"/>
  <c r="AZ182"/>
  <c r="AY182"/>
  <c r="AX182"/>
  <c r="BA182" s="1"/>
  <c r="AG9" i="8" s="1"/>
  <c r="Y182" i="1"/>
  <c r="X182"/>
  <c r="W182"/>
  <c r="AZ181"/>
  <c r="AY181"/>
  <c r="AX181"/>
  <c r="Y181"/>
  <c r="X181"/>
  <c r="W181"/>
  <c r="AZ180"/>
  <c r="AY180"/>
  <c r="AX180"/>
  <c r="BA180"/>
  <c r="AG7" i="8"/>
  <c r="Y180" i="1"/>
  <c r="X180"/>
  <c r="W180"/>
  <c r="AZ179"/>
  <c r="AY179"/>
  <c r="AX179"/>
  <c r="BA179" s="1"/>
  <c r="AG6" i="8"/>
  <c r="Y179" i="1"/>
  <c r="X179"/>
  <c r="W179"/>
  <c r="BA181"/>
  <c r="AG8" i="8" s="1"/>
  <c r="AD175" i="1"/>
  <c r="AZ171"/>
  <c r="AY171"/>
  <c r="AX171"/>
  <c r="Y171"/>
  <c r="X171"/>
  <c r="W171"/>
  <c r="AZ170"/>
  <c r="AY170"/>
  <c r="AX170"/>
  <c r="Y170"/>
  <c r="X170"/>
  <c r="W170"/>
  <c r="AZ169"/>
  <c r="AY169"/>
  <c r="AX169"/>
  <c r="Y169"/>
  <c r="X169"/>
  <c r="W169"/>
  <c r="Z169" s="1"/>
  <c r="AZ168"/>
  <c r="AY168"/>
  <c r="AX168"/>
  <c r="Y168"/>
  <c r="X168"/>
  <c r="W168"/>
  <c r="AZ167"/>
  <c r="AY167"/>
  <c r="AX167"/>
  <c r="Y167"/>
  <c r="X167"/>
  <c r="W167"/>
  <c r="AZ166"/>
  <c r="AY166"/>
  <c r="AX166"/>
  <c r="Y166"/>
  <c r="X166"/>
  <c r="W166"/>
  <c r="AZ165"/>
  <c r="AY165"/>
  <c r="AX165"/>
  <c r="Y165"/>
  <c r="X165"/>
  <c r="W165"/>
  <c r="Z165" s="1"/>
  <c r="AZ164"/>
  <c r="AY164"/>
  <c r="AX164"/>
  <c r="Y164"/>
  <c r="X164"/>
  <c r="W164"/>
  <c r="AZ163"/>
  <c r="AY163"/>
  <c r="AX163"/>
  <c r="Y163"/>
  <c r="X163"/>
  <c r="W163"/>
  <c r="AZ162"/>
  <c r="AY162"/>
  <c r="AX162"/>
  <c r="Y162"/>
  <c r="X162"/>
  <c r="W162"/>
  <c r="AZ161"/>
  <c r="AY161"/>
  <c r="AX161"/>
  <c r="Y161"/>
  <c r="X161"/>
  <c r="W161"/>
  <c r="Z161" s="1"/>
  <c r="AZ160"/>
  <c r="AY160"/>
  <c r="AX160"/>
  <c r="Y160"/>
  <c r="X160"/>
  <c r="W160"/>
  <c r="AZ159"/>
  <c r="AY159"/>
  <c r="AX159"/>
  <c r="Y159"/>
  <c r="X159"/>
  <c r="W159"/>
  <c r="AZ158"/>
  <c r="AY158"/>
  <c r="AX158"/>
  <c r="Y158"/>
  <c r="X158"/>
  <c r="W158"/>
  <c r="AZ157"/>
  <c r="AY157"/>
  <c r="AX157"/>
  <c r="Y157"/>
  <c r="X157"/>
  <c r="W157"/>
  <c r="Z157" s="1"/>
  <c r="AZ156"/>
  <c r="AY156"/>
  <c r="AX156"/>
  <c r="Y156"/>
  <c r="X156"/>
  <c r="W156"/>
  <c r="AZ155"/>
  <c r="AY155"/>
  <c r="AX155"/>
  <c r="Y155"/>
  <c r="X155"/>
  <c r="W155"/>
  <c r="AZ154"/>
  <c r="AY154"/>
  <c r="AX154"/>
  <c r="Y154"/>
  <c r="X154"/>
  <c r="W154"/>
  <c r="AZ153"/>
  <c r="AY153"/>
  <c r="AX153"/>
  <c r="Y153"/>
  <c r="X153"/>
  <c r="W153"/>
  <c r="Z153" s="1"/>
  <c r="AZ152"/>
  <c r="AY152"/>
  <c r="AX152"/>
  <c r="Y152"/>
  <c r="X152"/>
  <c r="W152"/>
  <c r="AZ151"/>
  <c r="AY151"/>
  <c r="AX151"/>
  <c r="Y151"/>
  <c r="X151"/>
  <c r="W151"/>
  <c r="AZ150"/>
  <c r="AY150"/>
  <c r="AX150"/>
  <c r="Y150"/>
  <c r="X150"/>
  <c r="W150"/>
  <c r="AZ149"/>
  <c r="AY149"/>
  <c r="AX149"/>
  <c r="Y149"/>
  <c r="X149"/>
  <c r="W149"/>
  <c r="Z149" s="1"/>
  <c r="AZ148"/>
  <c r="AY148"/>
  <c r="AX148"/>
  <c r="Y148"/>
  <c r="X148"/>
  <c r="W148"/>
  <c r="AZ147"/>
  <c r="AY147"/>
  <c r="AX147"/>
  <c r="Y147"/>
  <c r="X147"/>
  <c r="W147"/>
  <c r="AZ146"/>
  <c r="AY146"/>
  <c r="AX146"/>
  <c r="BA146"/>
  <c r="AP15" i="8" s="1"/>
  <c r="Y146" i="1"/>
  <c r="X146"/>
  <c r="W146"/>
  <c r="Z146" s="1"/>
  <c r="AM15" i="8" s="1"/>
  <c r="AS15" s="1"/>
  <c r="AT15" s="1"/>
  <c r="AZ145" i="1"/>
  <c r="AY145"/>
  <c r="AX145"/>
  <c r="BA145" s="1"/>
  <c r="AP14" i="8" s="1"/>
  <c r="Y145" i="1"/>
  <c r="X145"/>
  <c r="W145"/>
  <c r="AZ144"/>
  <c r="AY144"/>
  <c r="AX144"/>
  <c r="BA144" s="1"/>
  <c r="AP13" i="8" s="1"/>
  <c r="Y144" i="1"/>
  <c r="X144"/>
  <c r="W144"/>
  <c r="Z144" s="1"/>
  <c r="AM13" i="8" s="1"/>
  <c r="AZ143" i="1"/>
  <c r="AY143"/>
  <c r="AX143"/>
  <c r="BA143"/>
  <c r="AP12" i="8" s="1"/>
  <c r="Y143" i="1"/>
  <c r="X143"/>
  <c r="W143"/>
  <c r="AZ142"/>
  <c r="AY142"/>
  <c r="AX142"/>
  <c r="BA142"/>
  <c r="AP11" i="8" s="1"/>
  <c r="Y142" i="1"/>
  <c r="X142"/>
  <c r="W142"/>
  <c r="Z142" s="1"/>
  <c r="AM11" i="8" s="1"/>
  <c r="AZ141" i="1"/>
  <c r="AY141"/>
  <c r="AX141"/>
  <c r="BA141" s="1"/>
  <c r="AP10" i="8" s="1"/>
  <c r="Y141" i="1"/>
  <c r="X141"/>
  <c r="W141"/>
  <c r="AZ140"/>
  <c r="AY140"/>
  <c r="AX140"/>
  <c r="BA140" s="1"/>
  <c r="AP9" i="8" s="1"/>
  <c r="Y140" i="1"/>
  <c r="X140"/>
  <c r="W140"/>
  <c r="Z140" s="1"/>
  <c r="AM9" i="8"/>
  <c r="AS9" s="1"/>
  <c r="AT9" s="1"/>
  <c r="AZ139" i="1"/>
  <c r="AY139"/>
  <c r="AX139"/>
  <c r="Y139"/>
  <c r="X139"/>
  <c r="W139"/>
  <c r="Z139" s="1"/>
  <c r="AM8" i="8" s="1"/>
  <c r="AZ138" i="1"/>
  <c r="AY138"/>
  <c r="AX138"/>
  <c r="BA138"/>
  <c r="AP7" i="8"/>
  <c r="Y138" i="1"/>
  <c r="X138"/>
  <c r="W138"/>
  <c r="Z138"/>
  <c r="AM7" i="8" s="1"/>
  <c r="AZ137" i="1"/>
  <c r="AY137"/>
  <c r="AX137"/>
  <c r="BA137" s="1"/>
  <c r="AP6" i="8" s="1"/>
  <c r="Y137" i="1"/>
  <c r="X137"/>
  <c r="W137"/>
  <c r="Z137" s="1"/>
  <c r="AM6" i="8" s="1"/>
  <c r="BA139" i="1"/>
  <c r="AP8" i="8" s="1"/>
  <c r="AD133" i="1"/>
  <c r="AZ129"/>
  <c r="AY129"/>
  <c r="AX129"/>
  <c r="Y129"/>
  <c r="X129"/>
  <c r="W129"/>
  <c r="AZ128"/>
  <c r="AY128"/>
  <c r="AX128"/>
  <c r="Y128"/>
  <c r="X128"/>
  <c r="W128"/>
  <c r="AZ127"/>
  <c r="AY127"/>
  <c r="AX127"/>
  <c r="Y127"/>
  <c r="X127"/>
  <c r="W127"/>
  <c r="AZ126"/>
  <c r="AY126"/>
  <c r="AX126"/>
  <c r="Y126"/>
  <c r="X126"/>
  <c r="W126"/>
  <c r="AZ125"/>
  <c r="AY125"/>
  <c r="AX125"/>
  <c r="Y125"/>
  <c r="X125"/>
  <c r="W125"/>
  <c r="AZ124"/>
  <c r="AY124"/>
  <c r="AX124"/>
  <c r="Y124"/>
  <c r="X124"/>
  <c r="W124"/>
  <c r="AZ123"/>
  <c r="AY123"/>
  <c r="AX123"/>
  <c r="Y123"/>
  <c r="X123"/>
  <c r="W123"/>
  <c r="AZ122"/>
  <c r="AY122"/>
  <c r="AX122"/>
  <c r="Y122"/>
  <c r="X122"/>
  <c r="W122"/>
  <c r="AZ121"/>
  <c r="AY121"/>
  <c r="AX121"/>
  <c r="Y121"/>
  <c r="X121"/>
  <c r="W121"/>
  <c r="AZ120"/>
  <c r="AY120"/>
  <c r="AX120"/>
  <c r="Y120"/>
  <c r="X120"/>
  <c r="W120"/>
  <c r="AZ119"/>
  <c r="AY119"/>
  <c r="AX119"/>
  <c r="Y119"/>
  <c r="X119"/>
  <c r="W119"/>
  <c r="AZ118"/>
  <c r="AY118"/>
  <c r="AX118"/>
  <c r="Y118"/>
  <c r="X118"/>
  <c r="W118"/>
  <c r="AZ117"/>
  <c r="AY117"/>
  <c r="AX117"/>
  <c r="Y117"/>
  <c r="X117"/>
  <c r="W117"/>
  <c r="AZ116"/>
  <c r="AY116"/>
  <c r="AX116"/>
  <c r="Y116"/>
  <c r="X116"/>
  <c r="W116"/>
  <c r="AZ115"/>
  <c r="AY115"/>
  <c r="AX115"/>
  <c r="Y115"/>
  <c r="X115"/>
  <c r="W115"/>
  <c r="AZ114"/>
  <c r="AY114"/>
  <c r="AX114"/>
  <c r="Y114"/>
  <c r="X114"/>
  <c r="W114"/>
  <c r="AZ113"/>
  <c r="AY113"/>
  <c r="AX113"/>
  <c r="Y113"/>
  <c r="X113"/>
  <c r="W113"/>
  <c r="AZ112"/>
  <c r="AY112"/>
  <c r="AX112"/>
  <c r="Y112"/>
  <c r="X112"/>
  <c r="W112"/>
  <c r="AZ111"/>
  <c r="AY111"/>
  <c r="AX111"/>
  <c r="Y111"/>
  <c r="X111"/>
  <c r="W111"/>
  <c r="AZ110"/>
  <c r="AY110"/>
  <c r="AX110"/>
  <c r="Y110"/>
  <c r="X110"/>
  <c r="W110"/>
  <c r="AZ109"/>
  <c r="AY109"/>
  <c r="AX109"/>
  <c r="Y109"/>
  <c r="X109"/>
  <c r="W109"/>
  <c r="AZ108"/>
  <c r="AY108"/>
  <c r="AX108"/>
  <c r="Y108"/>
  <c r="X108"/>
  <c r="W108"/>
  <c r="AZ107"/>
  <c r="AY107"/>
  <c r="AX107"/>
  <c r="Y107"/>
  <c r="X107"/>
  <c r="W107"/>
  <c r="AZ106"/>
  <c r="AY106"/>
  <c r="AX106"/>
  <c r="Y106"/>
  <c r="X106"/>
  <c r="W106"/>
  <c r="AZ105"/>
  <c r="AY105"/>
  <c r="AX105"/>
  <c r="Y105"/>
  <c r="X105"/>
  <c r="W105"/>
  <c r="AZ104"/>
  <c r="AY104"/>
  <c r="AX104"/>
  <c r="Y104"/>
  <c r="X104"/>
  <c r="W104"/>
  <c r="AZ103"/>
  <c r="AY103"/>
  <c r="AX103"/>
  <c r="Y103"/>
  <c r="X103"/>
  <c r="W103"/>
  <c r="AZ102"/>
  <c r="AY102"/>
  <c r="AX102"/>
  <c r="BA102" s="1"/>
  <c r="Y13" i="8" s="1"/>
  <c r="AB13" s="1"/>
  <c r="AC13" s="1"/>
  <c r="Y102" i="1"/>
  <c r="X102"/>
  <c r="W102"/>
  <c r="Z102" s="1"/>
  <c r="V13" i="8" s="1"/>
  <c r="AZ101" i="1"/>
  <c r="AY101"/>
  <c r="AX101"/>
  <c r="Y101"/>
  <c r="X101"/>
  <c r="W101"/>
  <c r="AZ100"/>
  <c r="AY100"/>
  <c r="AX100"/>
  <c r="BA100"/>
  <c r="Y11" i="8" s="1"/>
  <c r="Y100" i="1"/>
  <c r="X100"/>
  <c r="W100"/>
  <c r="Z100" s="1"/>
  <c r="V11" i="8" s="1"/>
  <c r="AZ99" i="1"/>
  <c r="AY99"/>
  <c r="AX99"/>
  <c r="Y99"/>
  <c r="X99"/>
  <c r="W99"/>
  <c r="AZ98"/>
  <c r="AY98"/>
  <c r="AX98"/>
  <c r="BA98"/>
  <c r="Y9" i="8" s="1"/>
  <c r="Y98" i="1"/>
  <c r="X98"/>
  <c r="W98"/>
  <c r="Z98" s="1"/>
  <c r="V9" i="8" s="1"/>
  <c r="AZ97" i="1"/>
  <c r="AY97"/>
  <c r="AX97"/>
  <c r="Y97"/>
  <c r="X97"/>
  <c r="W97"/>
  <c r="AZ96"/>
  <c r="AY96"/>
  <c r="AX96"/>
  <c r="BA96" s="1"/>
  <c r="Y7" i="8" s="1"/>
  <c r="Y96" i="1"/>
  <c r="X96"/>
  <c r="W96"/>
  <c r="Z96" s="1"/>
  <c r="V7" i="8" s="1"/>
  <c r="AZ95" i="1"/>
  <c r="AY95"/>
  <c r="AX95"/>
  <c r="BA95" s="1"/>
  <c r="Y6" i="8" s="1"/>
  <c r="AB6" s="1"/>
  <c r="AC6" s="1"/>
  <c r="Y95" i="1"/>
  <c r="X95"/>
  <c r="W95"/>
  <c r="BA97"/>
  <c r="Y8" i="8" s="1"/>
  <c r="AD91" i="1"/>
  <c r="AD7"/>
  <c r="AD49"/>
  <c r="AZ87"/>
  <c r="AY87"/>
  <c r="AX87"/>
  <c r="Y87"/>
  <c r="X87"/>
  <c r="W87"/>
  <c r="AZ86"/>
  <c r="AY86"/>
  <c r="AX86"/>
  <c r="Y86"/>
  <c r="X86"/>
  <c r="W86"/>
  <c r="Z86" s="1"/>
  <c r="M39" i="8" s="1"/>
  <c r="S39" s="1"/>
  <c r="T39" s="1"/>
  <c r="AZ85" i="1"/>
  <c r="AY85"/>
  <c r="AX85"/>
  <c r="Y85"/>
  <c r="X85"/>
  <c r="W85"/>
  <c r="AZ84"/>
  <c r="AY84"/>
  <c r="AX84"/>
  <c r="Y84"/>
  <c r="X84"/>
  <c r="W84"/>
  <c r="Z84" s="1"/>
  <c r="M37" i="8" s="1"/>
  <c r="AZ83" i="1"/>
  <c r="AY83"/>
  <c r="AX83"/>
  <c r="Y83"/>
  <c r="X83"/>
  <c r="W83"/>
  <c r="AZ82"/>
  <c r="AY82"/>
  <c r="AX82"/>
  <c r="Y82"/>
  <c r="X82"/>
  <c r="W82"/>
  <c r="AZ81"/>
  <c r="AY81"/>
  <c r="AX81"/>
  <c r="Y81"/>
  <c r="X81"/>
  <c r="W81"/>
  <c r="AZ80"/>
  <c r="AY80"/>
  <c r="AX80"/>
  <c r="Y80"/>
  <c r="X80"/>
  <c r="W80"/>
  <c r="Z80" s="1"/>
  <c r="M33" i="8" s="1"/>
  <c r="S33" s="1"/>
  <c r="T33" s="1"/>
  <c r="AZ79" i="1"/>
  <c r="AY79"/>
  <c r="AX79"/>
  <c r="Y79"/>
  <c r="X79"/>
  <c r="W79"/>
  <c r="AZ78"/>
  <c r="AY78"/>
  <c r="AX78"/>
  <c r="Y78"/>
  <c r="X78"/>
  <c r="W78"/>
  <c r="Z78" s="1"/>
  <c r="M31" i="8" s="1"/>
  <c r="S31" s="1"/>
  <c r="T31" s="1"/>
  <c r="AZ77" i="1"/>
  <c r="AY77"/>
  <c r="AX77"/>
  <c r="Y77"/>
  <c r="X77"/>
  <c r="W77"/>
  <c r="AZ76"/>
  <c r="AY76"/>
  <c r="AX76"/>
  <c r="Y76"/>
  <c r="X76"/>
  <c r="W76"/>
  <c r="Z76" s="1"/>
  <c r="M29" i="8" s="1"/>
  <c r="S29" s="1"/>
  <c r="T29" s="1"/>
  <c r="AZ75" i="1"/>
  <c r="AY75"/>
  <c r="AX75"/>
  <c r="Y75"/>
  <c r="X75"/>
  <c r="W75"/>
  <c r="AZ74"/>
  <c r="AY74"/>
  <c r="AX74"/>
  <c r="Y74"/>
  <c r="X74"/>
  <c r="W74"/>
  <c r="Z74" s="1"/>
  <c r="M27" i="8" s="1"/>
  <c r="S27" s="1"/>
  <c r="T27" s="1"/>
  <c r="AZ73" i="1"/>
  <c r="AY73"/>
  <c r="AX73"/>
  <c r="Y73"/>
  <c r="X73"/>
  <c r="W73"/>
  <c r="AZ72"/>
  <c r="AY72"/>
  <c r="AX72"/>
  <c r="Y72"/>
  <c r="X72"/>
  <c r="W72"/>
  <c r="AZ71"/>
  <c r="AY71"/>
  <c r="AX71"/>
  <c r="Y71"/>
  <c r="X71"/>
  <c r="W71"/>
  <c r="AZ70"/>
  <c r="AY70"/>
  <c r="AX70"/>
  <c r="Y70"/>
  <c r="X70"/>
  <c r="W70"/>
  <c r="Z70" s="1"/>
  <c r="M23" i="8" s="1"/>
  <c r="S23" s="1"/>
  <c r="T23" s="1"/>
  <c r="AZ69" i="1"/>
  <c r="AY69"/>
  <c r="AX69"/>
  <c r="Y69"/>
  <c r="X69"/>
  <c r="W69"/>
  <c r="AZ68"/>
  <c r="AY68"/>
  <c r="AX68"/>
  <c r="Y68"/>
  <c r="X68"/>
  <c r="W68"/>
  <c r="Z68" s="1"/>
  <c r="M21" i="8" s="1"/>
  <c r="AZ67" i="1"/>
  <c r="AY67"/>
  <c r="AX67"/>
  <c r="Y67"/>
  <c r="X67"/>
  <c r="W67"/>
  <c r="AZ66"/>
  <c r="AY66"/>
  <c r="AX66"/>
  <c r="Y66"/>
  <c r="X66"/>
  <c r="W66"/>
  <c r="AZ65"/>
  <c r="AY65"/>
  <c r="AX65"/>
  <c r="Y65"/>
  <c r="X65"/>
  <c r="W65"/>
  <c r="AZ64"/>
  <c r="AY64"/>
  <c r="AX64"/>
  <c r="Y64"/>
  <c r="X64"/>
  <c r="W64"/>
  <c r="Z64" s="1"/>
  <c r="M17" i="8" s="1"/>
  <c r="S17" s="1"/>
  <c r="T17" s="1"/>
  <c r="AZ63" i="1"/>
  <c r="AY63"/>
  <c r="AX63"/>
  <c r="Y63"/>
  <c r="X63"/>
  <c r="W63"/>
  <c r="AZ62"/>
  <c r="AY62"/>
  <c r="AX62"/>
  <c r="Y62"/>
  <c r="X62"/>
  <c r="W62"/>
  <c r="Z62" s="1"/>
  <c r="M15" i="8" s="1"/>
  <c r="S15" s="1"/>
  <c r="T15" s="1"/>
  <c r="AZ61" i="1"/>
  <c r="AY61"/>
  <c r="AX61"/>
  <c r="Y61"/>
  <c r="X61"/>
  <c r="W61"/>
  <c r="AZ60"/>
  <c r="AY60"/>
  <c r="AX60"/>
  <c r="Y60"/>
  <c r="X60"/>
  <c r="W60"/>
  <c r="Z60" s="1"/>
  <c r="M13" i="8" s="1"/>
  <c r="S13" s="1"/>
  <c r="T13" s="1"/>
  <c r="AZ59" i="1"/>
  <c r="AY59"/>
  <c r="AX59"/>
  <c r="Y59"/>
  <c r="X59"/>
  <c r="W59"/>
  <c r="AZ58"/>
  <c r="AY58"/>
  <c r="AX58"/>
  <c r="Y58"/>
  <c r="X58"/>
  <c r="W58"/>
  <c r="Z58" s="1"/>
  <c r="M11" i="8" s="1"/>
  <c r="S11" s="1"/>
  <c r="T11" s="1"/>
  <c r="AZ57" i="1"/>
  <c r="AY57"/>
  <c r="AX57"/>
  <c r="Y57"/>
  <c r="X57"/>
  <c r="W57"/>
  <c r="AZ56"/>
  <c r="AY56"/>
  <c r="AX56"/>
  <c r="Y56"/>
  <c r="X56"/>
  <c r="W56"/>
  <c r="AZ55"/>
  <c r="AY55"/>
  <c r="AX55"/>
  <c r="Y55"/>
  <c r="X55"/>
  <c r="W55"/>
  <c r="AZ54"/>
  <c r="AY54"/>
  <c r="AX54"/>
  <c r="Y54"/>
  <c r="X54"/>
  <c r="W54"/>
  <c r="Z54" s="1"/>
  <c r="M7" i="8" s="1"/>
  <c r="S7" s="1"/>
  <c r="T7" s="1"/>
  <c r="AZ53" i="1"/>
  <c r="AY53"/>
  <c r="AX53"/>
  <c r="Y53"/>
  <c r="X53"/>
  <c r="W53"/>
  <c r="BA54"/>
  <c r="P7" i="8"/>
  <c r="Z55" i="1"/>
  <c r="M8" i="8" s="1"/>
  <c r="B45" i="1"/>
  <c r="AC45"/>
  <c r="B44"/>
  <c r="B43"/>
  <c r="B42"/>
  <c r="B78" i="4" s="1"/>
  <c r="B84" i="1"/>
  <c r="AC84" s="1"/>
  <c r="B41"/>
  <c r="B83" s="1"/>
  <c r="AC83" s="1"/>
  <c r="B40"/>
  <c r="B39"/>
  <c r="B81" s="1"/>
  <c r="AC81" s="1"/>
  <c r="B38"/>
  <c r="B37"/>
  <c r="B247" s="1"/>
  <c r="AC247" s="1"/>
  <c r="B36"/>
  <c r="B78" s="1"/>
  <c r="AC78" s="1"/>
  <c r="B35"/>
  <c r="B77" s="1"/>
  <c r="AC77" s="1"/>
  <c r="B34"/>
  <c r="B33"/>
  <c r="B32"/>
  <c r="B74" s="1"/>
  <c r="AC74" s="1"/>
  <c r="B31"/>
  <c r="B73"/>
  <c r="AC73" s="1"/>
  <c r="B30"/>
  <c r="B29"/>
  <c r="AC29"/>
  <c r="B28"/>
  <c r="B238" s="1"/>
  <c r="AC238" s="1"/>
  <c r="B27"/>
  <c r="B69" s="1"/>
  <c r="AC69" s="1"/>
  <c r="B26"/>
  <c r="B278" s="1"/>
  <c r="B68"/>
  <c r="AC68" s="1"/>
  <c r="B25"/>
  <c r="B24"/>
  <c r="B66"/>
  <c r="AC66" s="1"/>
  <c r="B23"/>
  <c r="B32" i="4" s="1"/>
  <c r="B22" i="1"/>
  <c r="B21"/>
  <c r="B63" s="1"/>
  <c r="AC63" s="1"/>
  <c r="B20"/>
  <c r="AC20"/>
  <c r="AC41"/>
  <c r="AC43"/>
  <c r="AZ45"/>
  <c r="AY45"/>
  <c r="AX45"/>
  <c r="AZ44"/>
  <c r="AY44"/>
  <c r="AX44"/>
  <c r="AZ43"/>
  <c r="AY43"/>
  <c r="AX43"/>
  <c r="BA43" s="1"/>
  <c r="H38" i="8" s="1"/>
  <c r="AZ42" i="1"/>
  <c r="AY42"/>
  <c r="AX42"/>
  <c r="AZ41"/>
  <c r="AY41"/>
  <c r="AX41"/>
  <c r="AZ40"/>
  <c r="AY40"/>
  <c r="AX40"/>
  <c r="BA40" s="1"/>
  <c r="AZ39"/>
  <c r="AY39"/>
  <c r="AX39"/>
  <c r="BA39" s="1"/>
  <c r="H34" i="8" s="1"/>
  <c r="AZ38" i="1"/>
  <c r="AY38"/>
  <c r="AX38"/>
  <c r="AZ37"/>
  <c r="AY37"/>
  <c r="AX37"/>
  <c r="AZ36"/>
  <c r="AY36"/>
  <c r="AX36"/>
  <c r="AZ35"/>
  <c r="AY35"/>
  <c r="AX35"/>
  <c r="BA35" s="1"/>
  <c r="H30" i="8" s="1"/>
  <c r="AZ34" i="1"/>
  <c r="AY34"/>
  <c r="AX34"/>
  <c r="AZ33"/>
  <c r="AY33"/>
  <c r="AX33"/>
  <c r="AZ32"/>
  <c r="AY32"/>
  <c r="AX32"/>
  <c r="AZ31"/>
  <c r="AY31"/>
  <c r="AX31"/>
  <c r="AZ30"/>
  <c r="AY30"/>
  <c r="AX30"/>
  <c r="AZ29"/>
  <c r="AY29"/>
  <c r="AX29"/>
  <c r="AZ28"/>
  <c r="AY28"/>
  <c r="AX28"/>
  <c r="AZ27"/>
  <c r="AY27"/>
  <c r="AX27"/>
  <c r="BA27" s="1"/>
  <c r="H22" i="8" s="1"/>
  <c r="AZ26" i="1"/>
  <c r="AY26"/>
  <c r="AX26"/>
  <c r="AZ25"/>
  <c r="AY25"/>
  <c r="AX25"/>
  <c r="AZ24"/>
  <c r="AY24"/>
  <c r="AX24"/>
  <c r="BA24" s="1"/>
  <c r="AZ23"/>
  <c r="AY23"/>
  <c r="AX23"/>
  <c r="BA23" s="1"/>
  <c r="H18" i="8" s="1"/>
  <c r="AZ22" i="1"/>
  <c r="AY22"/>
  <c r="AX22"/>
  <c r="AZ21"/>
  <c r="AY21"/>
  <c r="AX21"/>
  <c r="AZ20"/>
  <c r="AY20"/>
  <c r="AX20"/>
  <c r="BA20" s="1"/>
  <c r="AZ19"/>
  <c r="AY19"/>
  <c r="AX19"/>
  <c r="AZ18"/>
  <c r="AY18"/>
  <c r="AX18"/>
  <c r="AZ17"/>
  <c r="AY17"/>
  <c r="AX17"/>
  <c r="AZ16"/>
  <c r="AY16"/>
  <c r="AX16"/>
  <c r="AZ15"/>
  <c r="AY15"/>
  <c r="AX15"/>
  <c r="BA15" s="1"/>
  <c r="H10" i="8" s="1"/>
  <c r="AZ14" i="1"/>
  <c r="AY14"/>
  <c r="AX14"/>
  <c r="AZ13"/>
  <c r="AY13"/>
  <c r="AX13"/>
  <c r="AZ12"/>
  <c r="AY12"/>
  <c r="AX12"/>
  <c r="AZ11"/>
  <c r="AY11"/>
  <c r="AX11"/>
  <c r="BA11" s="1"/>
  <c r="H6" i="8" s="1"/>
  <c r="BA26" i="1"/>
  <c r="H21" i="8" s="1"/>
  <c r="B19" i="1"/>
  <c r="AC19" s="1"/>
  <c r="B18"/>
  <c r="AC18" s="1"/>
  <c r="B17"/>
  <c r="B143" s="1"/>
  <c r="AC143" s="1"/>
  <c r="B16"/>
  <c r="AC16" s="1"/>
  <c r="B15"/>
  <c r="AC15" s="1"/>
  <c r="B14"/>
  <c r="B13"/>
  <c r="B265" s="1"/>
  <c r="B12"/>
  <c r="AC12" s="1"/>
  <c r="B11"/>
  <c r="AC11" s="1"/>
  <c r="W12"/>
  <c r="X12"/>
  <c r="Y12"/>
  <c r="W13"/>
  <c r="X13"/>
  <c r="Y13"/>
  <c r="W14"/>
  <c r="X14"/>
  <c r="Y14"/>
  <c r="W15"/>
  <c r="X15"/>
  <c r="Y15"/>
  <c r="W16"/>
  <c r="X16"/>
  <c r="Y16"/>
  <c r="W17"/>
  <c r="X17"/>
  <c r="Y17"/>
  <c r="W18"/>
  <c r="X18"/>
  <c r="Y18"/>
  <c r="W19"/>
  <c r="Z19" s="1"/>
  <c r="E14" i="8" s="1"/>
  <c r="X19" i="1"/>
  <c r="Y19"/>
  <c r="W20"/>
  <c r="X20"/>
  <c r="Y20"/>
  <c r="W21"/>
  <c r="X21"/>
  <c r="Y21"/>
  <c r="W22"/>
  <c r="X22"/>
  <c r="Y22"/>
  <c r="W23"/>
  <c r="X23"/>
  <c r="Y23"/>
  <c r="W24"/>
  <c r="X24"/>
  <c r="Y24"/>
  <c r="W25"/>
  <c r="Z25" s="1"/>
  <c r="E20" i="8" s="1"/>
  <c r="X25" i="1"/>
  <c r="Y25"/>
  <c r="W26"/>
  <c r="X26"/>
  <c r="Y26"/>
  <c r="W27"/>
  <c r="Z27" s="1"/>
  <c r="E22" i="8" s="1"/>
  <c r="X27" i="1"/>
  <c r="Y27"/>
  <c r="W28"/>
  <c r="Z28" s="1"/>
  <c r="X28"/>
  <c r="Y28"/>
  <c r="W29"/>
  <c r="X29"/>
  <c r="Y29"/>
  <c r="W30"/>
  <c r="X30"/>
  <c r="Y30"/>
  <c r="W31"/>
  <c r="X31"/>
  <c r="Y31"/>
  <c r="W32"/>
  <c r="X32"/>
  <c r="Y32"/>
  <c r="W33"/>
  <c r="X33"/>
  <c r="Y33"/>
  <c r="W34"/>
  <c r="Z34" s="1"/>
  <c r="E29" i="8" s="1"/>
  <c r="X34" i="1"/>
  <c r="Y34"/>
  <c r="W35"/>
  <c r="Z35"/>
  <c r="E30" i="8" s="1"/>
  <c r="X35" i="1"/>
  <c r="Y35"/>
  <c r="W36"/>
  <c r="X36"/>
  <c r="Y36"/>
  <c r="W37"/>
  <c r="X37"/>
  <c r="Y37"/>
  <c r="W38"/>
  <c r="Z38" s="1"/>
  <c r="E33" i="8" s="1"/>
  <c r="X38" i="1"/>
  <c r="Y38"/>
  <c r="W39"/>
  <c r="X39"/>
  <c r="Y39"/>
  <c r="W40"/>
  <c r="X40"/>
  <c r="Y40"/>
  <c r="W41"/>
  <c r="X41"/>
  <c r="Y41"/>
  <c r="W42"/>
  <c r="X42"/>
  <c r="Y42"/>
  <c r="W43"/>
  <c r="Z43" s="1"/>
  <c r="E38" i="8" s="1"/>
  <c r="X43" i="1"/>
  <c r="Y43"/>
  <c r="W44"/>
  <c r="X44"/>
  <c r="Y44"/>
  <c r="W45"/>
  <c r="X45"/>
  <c r="Y45"/>
  <c r="X11"/>
  <c r="Y11"/>
  <c r="W11"/>
  <c r="B16" i="4"/>
  <c r="B24"/>
  <c r="B36"/>
  <c r="B40"/>
  <c r="B66"/>
  <c r="C47"/>
  <c r="Z47"/>
  <c r="P47"/>
  <c r="AL47" s="1"/>
  <c r="B18"/>
  <c r="B22"/>
  <c r="B30"/>
  <c r="B64"/>
  <c r="B76"/>
  <c r="B80"/>
  <c r="H47"/>
  <c r="AF47"/>
  <c r="AS54"/>
  <c r="AS40"/>
  <c r="AS32"/>
  <c r="AS24"/>
  <c r="AS16"/>
  <c r="Z264" i="1"/>
  <c r="BC7" i="8"/>
  <c r="Z97" i="1"/>
  <c r="V8" i="8" s="1"/>
  <c r="AB8" s="1"/>
  <c r="AC8" s="1"/>
  <c r="B294" i="1"/>
  <c r="B290"/>
  <c r="B33" i="8" s="1"/>
  <c r="B288" i="1"/>
  <c r="B31" i="8" s="1"/>
  <c r="B280" i="1"/>
  <c r="AC280" s="1"/>
  <c r="B270"/>
  <c r="B13" i="8" s="1"/>
  <c r="B264" i="1"/>
  <c r="B7" i="8" s="1"/>
  <c r="Z297" i="1"/>
  <c r="BC40" i="8" s="1"/>
  <c r="Z295" i="1"/>
  <c r="BC38" i="8"/>
  <c r="BI38" s="1"/>
  <c r="BJ38" s="1"/>
  <c r="Z293" i="1"/>
  <c r="BC36" i="8" s="1"/>
  <c r="Z291" i="1"/>
  <c r="BC34" i="8"/>
  <c r="Z289" i="1"/>
  <c r="BC32" i="8" s="1"/>
  <c r="Z287" i="1"/>
  <c r="BC30" i="8"/>
  <c r="Z285" i="1"/>
  <c r="BC28" i="8" s="1"/>
  <c r="Z283" i="1"/>
  <c r="BC26" i="8" s="1"/>
  <c r="Z281" i="1"/>
  <c r="BC24" i="8" s="1"/>
  <c r="Z279" i="1"/>
  <c r="BC22" i="8"/>
  <c r="Z277" i="1"/>
  <c r="BC20" i="8" s="1"/>
  <c r="Z275" i="1"/>
  <c r="BC18" i="8" s="1"/>
  <c r="Z273" i="1"/>
  <c r="BC16" i="8" s="1"/>
  <c r="Z271" i="1"/>
  <c r="BC14" i="8"/>
  <c r="Z269" i="1"/>
  <c r="BC12" i="8" s="1"/>
  <c r="Z267" i="1"/>
  <c r="BC10" i="8" s="1"/>
  <c r="Z265" i="1"/>
  <c r="BC8" i="8" s="1"/>
  <c r="BI8" s="1"/>
  <c r="BJ8" s="1"/>
  <c r="BA263" i="1"/>
  <c r="BF6" i="8" s="1"/>
  <c r="BI6" s="1"/>
  <c r="BJ6" s="1"/>
  <c r="BA296" i="1"/>
  <c r="BF39" i="8" s="1"/>
  <c r="BA294" i="1"/>
  <c r="BF37" i="8" s="1"/>
  <c r="BA292" i="1"/>
  <c r="BF35" i="8" s="1"/>
  <c r="BA290" i="1"/>
  <c r="BF33" i="8"/>
  <c r="BA288" i="1"/>
  <c r="BF31" i="8" s="1"/>
  <c r="BA286" i="1"/>
  <c r="BF29" i="8" s="1"/>
  <c r="BA284" i="1"/>
  <c r="BF27" i="8" s="1"/>
  <c r="BA282" i="1"/>
  <c r="BF25" i="8" s="1"/>
  <c r="BI25" s="1"/>
  <c r="BJ25" s="1"/>
  <c r="BA280" i="1"/>
  <c r="BF23" i="8" s="1"/>
  <c r="BA278" i="1"/>
  <c r="BF21" i="8"/>
  <c r="BA276" i="1"/>
  <c r="BF19" i="8" s="1"/>
  <c r="BA274" i="1"/>
  <c r="BF17" i="8"/>
  <c r="BA272" i="1"/>
  <c r="BF15" i="8" s="1"/>
  <c r="BA270" i="1"/>
  <c r="BF13" i="8" s="1"/>
  <c r="BA268" i="1"/>
  <c r="BF11" i="8" s="1"/>
  <c r="BA266" i="1"/>
  <c r="BF9" i="8"/>
  <c r="BA264" i="1"/>
  <c r="BF7" i="8" s="1"/>
  <c r="B295" i="1"/>
  <c r="B38" i="8"/>
  <c r="AC295" i="1"/>
  <c r="B293"/>
  <c r="B36" i="8" s="1"/>
  <c r="B291" i="1"/>
  <c r="B287"/>
  <c r="B30" i="8" s="1"/>
  <c r="B279" i="1"/>
  <c r="B22" i="8" s="1"/>
  <c r="B271" i="1"/>
  <c r="B14" i="8"/>
  <c r="Z263" i="1"/>
  <c r="BC6" i="8" s="1"/>
  <c r="BC39"/>
  <c r="BI39" s="1"/>
  <c r="BJ39" s="1"/>
  <c r="Z290" i="1"/>
  <c r="BC33" i="8"/>
  <c r="BI33" s="1"/>
  <c r="BJ33" s="1"/>
  <c r="BC27"/>
  <c r="Z282" i="1"/>
  <c r="BC25" i="8" s="1"/>
  <c r="Z274" i="1"/>
  <c r="BC17" i="8" s="1"/>
  <c r="BI17" s="1"/>
  <c r="BJ17" s="1"/>
  <c r="BC13"/>
  <c r="BC11"/>
  <c r="BI11" s="1"/>
  <c r="BJ11" s="1"/>
  <c r="Z266" i="1"/>
  <c r="BC9" i="8" s="1"/>
  <c r="BA295" i="1"/>
  <c r="BF38" i="8"/>
  <c r="BF32"/>
  <c r="BF30"/>
  <c r="BF24"/>
  <c r="BA279" i="1"/>
  <c r="BF22" i="8" s="1"/>
  <c r="BI22" s="1"/>
  <c r="BJ22" s="1"/>
  <c r="BF16"/>
  <c r="BI16" s="1"/>
  <c r="BJ16" s="1"/>
  <c r="Z180" i="1"/>
  <c r="AD7" i="8" s="1"/>
  <c r="AJ7" s="1"/>
  <c r="AK7" s="1"/>
  <c r="B221" i="1"/>
  <c r="AC221" s="1"/>
  <c r="B252"/>
  <c r="AC252" s="1"/>
  <c r="B246"/>
  <c r="AC246" s="1"/>
  <c r="B244"/>
  <c r="AC244" s="1"/>
  <c r="B240"/>
  <c r="AC240" s="1"/>
  <c r="B234"/>
  <c r="AC234" s="1"/>
  <c r="B228"/>
  <c r="AC228" s="1"/>
  <c r="B226"/>
  <c r="AC226" s="1"/>
  <c r="B222"/>
  <c r="AC222" s="1"/>
  <c r="Z255"/>
  <c r="AU40" i="8" s="1"/>
  <c r="BA40" s="1"/>
  <c r="BB40" s="1"/>
  <c r="Z253" i="1"/>
  <c r="AU38" i="8" s="1"/>
  <c r="Z251" i="1"/>
  <c r="AU36" i="8"/>
  <c r="BA36" s="1"/>
  <c r="BB36" s="1"/>
  <c r="Z249" i="1"/>
  <c r="AU34" i="8" s="1"/>
  <c r="Z247" i="1"/>
  <c r="AU32" i="8" s="1"/>
  <c r="Z245" i="1"/>
  <c r="AU30" i="8" s="1"/>
  <c r="BA30" s="1"/>
  <c r="BB30" s="1"/>
  <c r="Z243" i="1"/>
  <c r="AU28" i="8" s="1"/>
  <c r="BA28" s="1"/>
  <c r="BB28" s="1"/>
  <c r="Z241" i="1"/>
  <c r="AU26" i="8" s="1"/>
  <c r="Z239" i="1"/>
  <c r="AU24" i="8"/>
  <c r="BA24" s="1"/>
  <c r="BB24" s="1"/>
  <c r="Z237" i="1"/>
  <c r="AU22" i="8" s="1"/>
  <c r="Z235" i="1"/>
  <c r="AU20" i="8"/>
  <c r="BA20" s="1"/>
  <c r="BB20" s="1"/>
  <c r="Z233" i="1"/>
  <c r="AU18" i="8" s="1"/>
  <c r="BA18" s="1"/>
  <c r="BB18" s="1"/>
  <c r="BA221" i="1"/>
  <c r="AX6" i="8" s="1"/>
  <c r="BA254" i="1"/>
  <c r="AX39" i="8" s="1"/>
  <c r="BA252" i="1"/>
  <c r="AX37" i="8"/>
  <c r="BA250" i="1"/>
  <c r="AX35" i="8" s="1"/>
  <c r="BA248" i="1"/>
  <c r="AX33" i="8"/>
  <c r="BA246" i="1"/>
  <c r="AX31" i="8" s="1"/>
  <c r="BA244" i="1"/>
  <c r="AX29" i="8"/>
  <c r="BA242" i="1"/>
  <c r="AX27" i="8" s="1"/>
  <c r="BA240" i="1"/>
  <c r="AX25" i="8" s="1"/>
  <c r="BA238" i="1"/>
  <c r="AX23" i="8" s="1"/>
  <c r="BA236" i="1"/>
  <c r="AX21" i="8"/>
  <c r="BA234" i="1"/>
  <c r="AX19" i="8" s="1"/>
  <c r="BA232" i="1"/>
  <c r="AX17" i="8" s="1"/>
  <c r="BA230" i="1"/>
  <c r="AX15" i="8" s="1"/>
  <c r="AX13"/>
  <c r="BA226" i="1"/>
  <c r="AX11" i="8" s="1"/>
  <c r="BA224" i="1"/>
  <c r="AX9" i="8" s="1"/>
  <c r="BA222" i="1"/>
  <c r="AX7" i="8" s="1"/>
  <c r="B253" i="1"/>
  <c r="AC253" s="1"/>
  <c r="B251"/>
  <c r="AC251" s="1"/>
  <c r="B249"/>
  <c r="AC249"/>
  <c r="B245"/>
  <c r="AC245"/>
  <c r="B243"/>
  <c r="AC243" s="1"/>
  <c r="B237"/>
  <c r="AC237" s="1"/>
  <c r="B235"/>
  <c r="AC235"/>
  <c r="B231"/>
  <c r="AC231" s="1"/>
  <c r="B229"/>
  <c r="AC229" s="1"/>
  <c r="B225"/>
  <c r="AC225"/>
  <c r="Z254"/>
  <c r="AU39" i="8" s="1"/>
  <c r="Z252" i="1"/>
  <c r="AU37" i="8" s="1"/>
  <c r="Z250" i="1"/>
  <c r="AU35" i="8" s="1"/>
  <c r="BA35" s="1"/>
  <c r="BB35" s="1"/>
  <c r="Z248" i="1"/>
  <c r="AU33" i="8" s="1"/>
  <c r="BA33" s="1"/>
  <c r="BB33" s="1"/>
  <c r="Z246" i="1"/>
  <c r="AU31" i="8" s="1"/>
  <c r="Z244" i="1"/>
  <c r="AU29" i="8" s="1"/>
  <c r="BA29" s="1"/>
  <c r="BB29" s="1"/>
  <c r="Z242" i="1"/>
  <c r="AU27" i="8" s="1"/>
  <c r="Z240" i="1"/>
  <c r="AU25" i="8"/>
  <c r="BA25" s="1"/>
  <c r="BB25" s="1"/>
  <c r="Z238" i="1"/>
  <c r="AU23" i="8" s="1"/>
  <c r="BA23" s="1"/>
  <c r="BB23" s="1"/>
  <c r="Z236" i="1"/>
  <c r="AU21" i="8" s="1"/>
  <c r="Z234" i="1"/>
  <c r="AU19" i="8" s="1"/>
  <c r="Z232" i="1"/>
  <c r="AU17" i="8" s="1"/>
  <c r="BA17" s="1"/>
  <c r="BB17" s="1"/>
  <c r="Z230" i="1"/>
  <c r="AU15" i="8" s="1"/>
  <c r="BA255" i="1"/>
  <c r="AX40" i="8"/>
  <c r="BA253" i="1"/>
  <c r="AX38" i="8" s="1"/>
  <c r="BA251" i="1"/>
  <c r="AX36" i="8"/>
  <c r="BA249" i="1"/>
  <c r="AX34" i="8" s="1"/>
  <c r="BA247" i="1"/>
  <c r="AX32" i="8" s="1"/>
  <c r="BA245" i="1"/>
  <c r="AX30" i="8" s="1"/>
  <c r="BA243" i="1"/>
  <c r="AX28" i="8"/>
  <c r="BA241" i="1"/>
  <c r="AX26" i="8" s="1"/>
  <c r="BA239" i="1"/>
  <c r="AX24" i="8"/>
  <c r="BA237" i="1"/>
  <c r="AX22" i="8" s="1"/>
  <c r="BA235" i="1"/>
  <c r="AX20" i="8"/>
  <c r="BA233" i="1"/>
  <c r="AX18" i="8" s="1"/>
  <c r="BA231" i="1"/>
  <c r="AX16" i="8" s="1"/>
  <c r="BA229" i="1"/>
  <c r="AX14" i="8" s="1"/>
  <c r="BA227" i="1"/>
  <c r="AX12" i="8"/>
  <c r="BA225" i="1"/>
  <c r="AX10" i="8" s="1"/>
  <c r="B179" i="1"/>
  <c r="AC179" s="1"/>
  <c r="B210"/>
  <c r="AC210"/>
  <c r="B204"/>
  <c r="AC204" s="1"/>
  <c r="B202"/>
  <c r="AC202" s="1"/>
  <c r="B200"/>
  <c r="AC200" s="1"/>
  <c r="B194"/>
  <c r="AC194" s="1"/>
  <c r="B188"/>
  <c r="AC188" s="1"/>
  <c r="B186"/>
  <c r="AC186" s="1"/>
  <c r="B184"/>
  <c r="AC184" s="1"/>
  <c r="B180"/>
  <c r="AC180" s="1"/>
  <c r="Z213"/>
  <c r="AD40" i="8" s="1"/>
  <c r="AJ40" s="1"/>
  <c r="AK40" s="1"/>
  <c r="Z211" i="1"/>
  <c r="AD38" i="8" s="1"/>
  <c r="Z209" i="1"/>
  <c r="AD36" i="8"/>
  <c r="Z207" i="1"/>
  <c r="AD34" i="8" s="1"/>
  <c r="Z205" i="1"/>
  <c r="AD32" i="8" s="1"/>
  <c r="Z203" i="1"/>
  <c r="AD30" i="8" s="1"/>
  <c r="AJ30" s="1"/>
  <c r="AK30" s="1"/>
  <c r="Z201" i="1"/>
  <c r="AD28" i="8" s="1"/>
  <c r="AJ28" s="1"/>
  <c r="AK28" s="1"/>
  <c r="Z199" i="1"/>
  <c r="AD26" i="8" s="1"/>
  <c r="Z197" i="1"/>
  <c r="AD24" i="8" s="1"/>
  <c r="AJ24" s="1"/>
  <c r="AK24" s="1"/>
  <c r="Z195" i="1"/>
  <c r="AD22" i="8" s="1"/>
  <c r="Z193" i="1"/>
  <c r="AD20" i="8"/>
  <c r="Z191" i="1"/>
  <c r="AD18" i="8" s="1"/>
  <c r="Z189" i="1"/>
  <c r="AD16" i="8" s="1"/>
  <c r="Z187" i="1"/>
  <c r="AD14" i="8" s="1"/>
  <c r="Z185" i="1"/>
  <c r="AD12" i="8" s="1"/>
  <c r="AJ12" s="1"/>
  <c r="AK12" s="1"/>
  <c r="Z183" i="1"/>
  <c r="AD10" i="8" s="1"/>
  <c r="Z181" i="1"/>
  <c r="AD8" i="8"/>
  <c r="BA212" i="1"/>
  <c r="AG39" i="8" s="1"/>
  <c r="BA210" i="1"/>
  <c r="AG37" i="8"/>
  <c r="BA208" i="1"/>
  <c r="AG35" i="8" s="1"/>
  <c r="AJ35" s="1"/>
  <c r="AK35" s="1"/>
  <c r="BA206" i="1"/>
  <c r="AG33" i="8" s="1"/>
  <c r="BA204" i="1"/>
  <c r="AG31" i="8" s="1"/>
  <c r="BA202" i="1"/>
  <c r="AG29" i="8"/>
  <c r="BA200" i="1"/>
  <c r="AG27" i="8" s="1"/>
  <c r="BA198" i="1"/>
  <c r="AG25" i="8"/>
  <c r="BA196" i="1"/>
  <c r="AG23" i="8" s="1"/>
  <c r="BA194" i="1"/>
  <c r="AG21" i="8"/>
  <c r="BA192" i="1"/>
  <c r="AG19" i="8" s="1"/>
  <c r="BA190" i="1"/>
  <c r="AG17" i="8" s="1"/>
  <c r="BA188" i="1"/>
  <c r="AG15" i="8" s="1"/>
  <c r="B213" i="1"/>
  <c r="AC213"/>
  <c r="B209"/>
  <c r="AC209" s="1"/>
  <c r="B207"/>
  <c r="AC207" s="1"/>
  <c r="B203"/>
  <c r="AC203"/>
  <c r="B197"/>
  <c r="AC197" s="1"/>
  <c r="B195"/>
  <c r="AC195" s="1"/>
  <c r="B187"/>
  <c r="AC187" s="1"/>
  <c r="B183"/>
  <c r="AC183"/>
  <c r="Z179"/>
  <c r="AD6" i="8" s="1"/>
  <c r="AJ6" s="1"/>
  <c r="AK6" s="1"/>
  <c r="Z212" i="1"/>
  <c r="AD39" i="8" s="1"/>
  <c r="AJ39" s="1"/>
  <c r="AK39" s="1"/>
  <c r="Z210" i="1"/>
  <c r="AD37" i="8" s="1"/>
  <c r="AJ37" s="1"/>
  <c r="AK37" s="1"/>
  <c r="Z208" i="1"/>
  <c r="AD35" i="8"/>
  <c r="Z206" i="1"/>
  <c r="AD33" i="8" s="1"/>
  <c r="Z204" i="1"/>
  <c r="AD31" i="8" s="1"/>
  <c r="AJ31" s="1"/>
  <c r="AK31" s="1"/>
  <c r="Z202" i="1"/>
  <c r="AD29" i="8" s="1"/>
  <c r="Z200" i="1"/>
  <c r="AD27" i="8"/>
  <c r="Z198" i="1"/>
  <c r="AD25" i="8" s="1"/>
  <c r="Z196" i="1"/>
  <c r="AD23" i="8" s="1"/>
  <c r="Z194" i="1"/>
  <c r="AD21" i="8" s="1"/>
  <c r="AJ21" s="1"/>
  <c r="AK21" s="1"/>
  <c r="Z192" i="1"/>
  <c r="AD19" i="8" s="1"/>
  <c r="AJ19" s="1"/>
  <c r="AK19" s="1"/>
  <c r="Z190" i="1"/>
  <c r="AD17" i="8" s="1"/>
  <c r="Z188" i="1"/>
  <c r="AD15" i="8" s="1"/>
  <c r="AJ15" s="1"/>
  <c r="AK15" s="1"/>
  <c r="Z186" i="1"/>
  <c r="AD13" i="8" s="1"/>
  <c r="AJ13" s="1"/>
  <c r="AK13" s="1"/>
  <c r="AD11"/>
  <c r="Z182" i="1"/>
  <c r="AD9" i="8" s="1"/>
  <c r="AJ9" s="1"/>
  <c r="AK9" s="1"/>
  <c r="BA213" i="1"/>
  <c r="AG40" i="8" s="1"/>
  <c r="BA211" i="1"/>
  <c r="AG38" i="8" s="1"/>
  <c r="BA209" i="1"/>
  <c r="AG36" i="8"/>
  <c r="BA205" i="1"/>
  <c r="AG32" i="8" s="1"/>
  <c r="AJ32" s="1"/>
  <c r="AK32" s="1"/>
  <c r="BA203" i="1"/>
  <c r="AG30" i="8" s="1"/>
  <c r="AG28"/>
  <c r="BA199" i="1"/>
  <c r="AG26" i="8" s="1"/>
  <c r="AJ26" s="1"/>
  <c r="AK26" s="1"/>
  <c r="BA197" i="1"/>
  <c r="AG24" i="8" s="1"/>
  <c r="BA195" i="1"/>
  <c r="AG22" i="8" s="1"/>
  <c r="BA193" i="1"/>
  <c r="AG20" i="8" s="1"/>
  <c r="AJ20" s="1"/>
  <c r="AK20" s="1"/>
  <c r="BA189" i="1"/>
  <c r="AG16" i="8"/>
  <c r="BA187" i="1"/>
  <c r="AG14" i="8" s="1"/>
  <c r="BA185" i="1"/>
  <c r="AG12" i="8"/>
  <c r="B137" i="1"/>
  <c r="AC137" s="1"/>
  <c r="B170"/>
  <c r="AC170" s="1"/>
  <c r="B168"/>
  <c r="AC168" s="1"/>
  <c r="B166"/>
  <c r="AC166"/>
  <c r="B162"/>
  <c r="AC162" s="1"/>
  <c r="B160"/>
  <c r="AC160" s="1"/>
  <c r="B154"/>
  <c r="AC154" s="1"/>
  <c r="B152"/>
  <c r="AC152" s="1"/>
  <c r="B150"/>
  <c r="AC150" s="1"/>
  <c r="B148"/>
  <c r="AC148"/>
  <c r="B144"/>
  <c r="AC144" s="1"/>
  <c r="B142"/>
  <c r="AC142" s="1"/>
  <c r="B138"/>
  <c r="AC138" s="1"/>
  <c r="BA170"/>
  <c r="AP39" i="8" s="1"/>
  <c r="BA168" i="1"/>
  <c r="AP37" i="8" s="1"/>
  <c r="BA166" i="1"/>
  <c r="AP35" i="8" s="1"/>
  <c r="BA164" i="1"/>
  <c r="AP33" i="8" s="1"/>
  <c r="BA162" i="1"/>
  <c r="AP31" i="8"/>
  <c r="AS31" s="1"/>
  <c r="AT31" s="1"/>
  <c r="BA160" i="1"/>
  <c r="AP29" i="8" s="1"/>
  <c r="BA158" i="1"/>
  <c r="AP27" i="8"/>
  <c r="BA156" i="1"/>
  <c r="AP25" i="8" s="1"/>
  <c r="BA154" i="1"/>
  <c r="AP23" i="8" s="1"/>
  <c r="BA152" i="1"/>
  <c r="AP21" i="8" s="1"/>
  <c r="BA150" i="1"/>
  <c r="AP19" i="8"/>
  <c r="BA148" i="1"/>
  <c r="AP17" i="8" s="1"/>
  <c r="B171" i="1"/>
  <c r="AC171"/>
  <c r="B169"/>
  <c r="AC169" s="1"/>
  <c r="B167"/>
  <c r="AC167"/>
  <c r="B165"/>
  <c r="AC165" s="1"/>
  <c r="B163"/>
  <c r="AC163" s="1"/>
  <c r="B161"/>
  <c r="AC161" s="1"/>
  <c r="B155"/>
  <c r="AC155" s="1"/>
  <c r="B153"/>
  <c r="AC153" s="1"/>
  <c r="B149"/>
  <c r="AC149" s="1"/>
  <c r="B147"/>
  <c r="AC147" s="1"/>
  <c r="B145"/>
  <c r="AC145" s="1"/>
  <c r="B141"/>
  <c r="AC141"/>
  <c r="Z170"/>
  <c r="AM39" i="8" s="1"/>
  <c r="Z168" i="1"/>
  <c r="AM37" i="8"/>
  <c r="AS37" s="1"/>
  <c r="AT37" s="1"/>
  <c r="Z166" i="1"/>
  <c r="AM35" i="8" s="1"/>
  <c r="Z164" i="1"/>
  <c r="AM33" i="8" s="1"/>
  <c r="AS33" s="1"/>
  <c r="AT33" s="1"/>
  <c r="Z162" i="1"/>
  <c r="AM31" i="8" s="1"/>
  <c r="Z160" i="1"/>
  <c r="AM29" i="8" s="1"/>
  <c r="AS29" s="1"/>
  <c r="AT29" s="1"/>
  <c r="Z158" i="1"/>
  <c r="AM27" i="8" s="1"/>
  <c r="Z156" i="1"/>
  <c r="AM25" i="8"/>
  <c r="AS25" s="1"/>
  <c r="AT25" s="1"/>
  <c r="Z154" i="1"/>
  <c r="AM23" i="8" s="1"/>
  <c r="AS23" s="1"/>
  <c r="AT23" s="1"/>
  <c r="Z152" i="1"/>
  <c r="AM21" i="8"/>
  <c r="Z150" i="1"/>
  <c r="AM19" i="8" s="1"/>
  <c r="AS19" s="1"/>
  <c r="AT19" s="1"/>
  <c r="Z148" i="1"/>
  <c r="AM17" i="8" s="1"/>
  <c r="AS17" s="1"/>
  <c r="AT17" s="1"/>
  <c r="BA171" i="1"/>
  <c r="AP40" i="8" s="1"/>
  <c r="BA169" i="1"/>
  <c r="AP38" i="8" s="1"/>
  <c r="BA167" i="1"/>
  <c r="AP36" i="8" s="1"/>
  <c r="BA165" i="1"/>
  <c r="AP34" i="8"/>
  <c r="BA163" i="1"/>
  <c r="AP32" i="8" s="1"/>
  <c r="BA161" i="1"/>
  <c r="AP30" i="8"/>
  <c r="BA159" i="1"/>
  <c r="AP28" i="8" s="1"/>
  <c r="BA157" i="1"/>
  <c r="AP26" i="8" s="1"/>
  <c r="BA155" i="1"/>
  <c r="AP24" i="8" s="1"/>
  <c r="BA153" i="1"/>
  <c r="AP22" i="8" s="1"/>
  <c r="BA151" i="1"/>
  <c r="AP20" i="8" s="1"/>
  <c r="BA149" i="1"/>
  <c r="AP18" i="8"/>
  <c r="BA147" i="1"/>
  <c r="AP16" i="8" s="1"/>
  <c r="B95" i="1"/>
  <c r="AC95"/>
  <c r="B128"/>
  <c r="AC128" s="1"/>
  <c r="B126"/>
  <c r="AC126" s="1"/>
  <c r="B124"/>
  <c r="AC124" s="1"/>
  <c r="B122"/>
  <c r="AC122" s="1"/>
  <c r="B120"/>
  <c r="AC120" s="1"/>
  <c r="B118"/>
  <c r="AC118"/>
  <c r="B116"/>
  <c r="AC116" s="1"/>
  <c r="B114"/>
  <c r="AC114"/>
  <c r="B112"/>
  <c r="AC112" s="1"/>
  <c r="B110"/>
  <c r="AC110" s="1"/>
  <c r="B108"/>
  <c r="AC108" s="1"/>
  <c r="B106"/>
  <c r="AC106" s="1"/>
  <c r="B104"/>
  <c r="AC104" s="1"/>
  <c r="B102"/>
  <c r="AC102"/>
  <c r="B100"/>
  <c r="AC100" s="1"/>
  <c r="B98"/>
  <c r="AC98"/>
  <c r="B96"/>
  <c r="AC96" s="1"/>
  <c r="BA128"/>
  <c r="Y39" i="8" s="1"/>
  <c r="BA126" i="1"/>
  <c r="Y37" i="8" s="1"/>
  <c r="BA124" i="1"/>
  <c r="Y35" i="8" s="1"/>
  <c r="BA122" i="1"/>
  <c r="Y33" i="8" s="1"/>
  <c r="BA120" i="1"/>
  <c r="Y31" i="8"/>
  <c r="BA118" i="1"/>
  <c r="Y29" i="8" s="1"/>
  <c r="BA116" i="1"/>
  <c r="Y27" i="8"/>
  <c r="BA114" i="1"/>
  <c r="Y25" i="8" s="1"/>
  <c r="BA112" i="1"/>
  <c r="Y23" i="8" s="1"/>
  <c r="BA110" i="1"/>
  <c r="Y21" i="8" s="1"/>
  <c r="BA108" i="1"/>
  <c r="Y19" i="8" s="1"/>
  <c r="BA106" i="1"/>
  <c r="Y17" i="8" s="1"/>
  <c r="BA104" i="1"/>
  <c r="Y15" i="8"/>
  <c r="Z128" i="1"/>
  <c r="V39" i="8" s="1"/>
  <c r="Z126" i="1"/>
  <c r="V37" i="8"/>
  <c r="AB37" s="1"/>
  <c r="AC37" s="1"/>
  <c r="Z124" i="1"/>
  <c r="V35" i="8" s="1"/>
  <c r="Z122" i="1"/>
  <c r="V33" i="8" s="1"/>
  <c r="AB33" s="1"/>
  <c r="AC33" s="1"/>
  <c r="Z120" i="1"/>
  <c r="V31" i="8" s="1"/>
  <c r="Z118" i="1"/>
  <c r="V29" i="8" s="1"/>
  <c r="AB29" s="1"/>
  <c r="AC29" s="1"/>
  <c r="Z116" i="1"/>
  <c r="V27" i="8"/>
  <c r="AB27" s="1"/>
  <c r="AC27" s="1"/>
  <c r="Z114" i="1"/>
  <c r="V25" i="8" s="1"/>
  <c r="AB25" s="1"/>
  <c r="AC25" s="1"/>
  <c r="Z112" i="1"/>
  <c r="V23" i="8"/>
  <c r="Z110" i="1"/>
  <c r="V21" i="8" s="1"/>
  <c r="Z108" i="1"/>
  <c r="V19" i="8"/>
  <c r="Z106" i="1"/>
  <c r="V17" i="8" s="1"/>
  <c r="AB17" s="1"/>
  <c r="AC17" s="1"/>
  <c r="Z104" i="1"/>
  <c r="V15" i="8"/>
  <c r="B129" i="1"/>
  <c r="AC129" s="1"/>
  <c r="B127"/>
  <c r="AC127" s="1"/>
  <c r="B125"/>
  <c r="AC125" s="1"/>
  <c r="B123"/>
  <c r="AC123" s="1"/>
  <c r="B119"/>
  <c r="AC119"/>
  <c r="B115"/>
  <c r="AC115"/>
  <c r="B113"/>
  <c r="AC113" s="1"/>
  <c r="B111"/>
  <c r="AC111" s="1"/>
  <c r="B109"/>
  <c r="AC109" s="1"/>
  <c r="B107"/>
  <c r="AC107" s="1"/>
  <c r="B105"/>
  <c r="AC105" s="1"/>
  <c r="B103"/>
  <c r="AC103"/>
  <c r="B99"/>
  <c r="AC99" s="1"/>
  <c r="Z95"/>
  <c r="V6" i="8"/>
  <c r="BA129" i="1"/>
  <c r="Y40" i="8" s="1"/>
  <c r="BA127" i="1"/>
  <c r="Y38" i="8" s="1"/>
  <c r="BA125" i="1"/>
  <c r="Y36" i="8" s="1"/>
  <c r="BA123" i="1"/>
  <c r="Y34" i="8" s="1"/>
  <c r="BA121" i="1"/>
  <c r="Y32" i="8" s="1"/>
  <c r="BA119" i="1"/>
  <c r="Y30" i="8"/>
  <c r="BA117" i="1"/>
  <c r="Y28" i="8" s="1"/>
  <c r="BA115" i="1"/>
  <c r="Y26" i="8"/>
  <c r="BA113" i="1"/>
  <c r="Y24" i="8" s="1"/>
  <c r="BA111" i="1"/>
  <c r="Y22" i="8" s="1"/>
  <c r="BA109" i="1"/>
  <c r="Y20" i="8" s="1"/>
  <c r="BA107" i="1"/>
  <c r="Y18" i="8" s="1"/>
  <c r="BA105" i="1"/>
  <c r="Y16" i="8" s="1"/>
  <c r="BA103" i="1"/>
  <c r="Y14" i="8"/>
  <c r="BA101" i="1"/>
  <c r="Y12" i="8" s="1"/>
  <c r="BA99" i="1"/>
  <c r="Y10" i="8"/>
  <c r="Z129" i="1"/>
  <c r="V40" i="8" s="1"/>
  <c r="Z127" i="1"/>
  <c r="V38" i="8" s="1"/>
  <c r="AB38" s="1"/>
  <c r="AC38" s="1"/>
  <c r="Z125" i="1"/>
  <c r="V36" i="8" s="1"/>
  <c r="Z123" i="1"/>
  <c r="V34" i="8" s="1"/>
  <c r="AB34" s="1"/>
  <c r="AC34" s="1"/>
  <c r="Z121" i="1"/>
  <c r="V32" i="8" s="1"/>
  <c r="Z119" i="1"/>
  <c r="V30" i="8"/>
  <c r="AB30" s="1"/>
  <c r="AC30" s="1"/>
  <c r="Z117" i="1"/>
  <c r="V28" i="8" s="1"/>
  <c r="Z115" i="1"/>
  <c r="V26" i="8"/>
  <c r="Z113" i="1"/>
  <c r="V24" i="8" s="1"/>
  <c r="AB24" s="1"/>
  <c r="AC24" s="1"/>
  <c r="Z111" i="1"/>
  <c r="V22" i="8" s="1"/>
  <c r="AB22" s="1"/>
  <c r="AC22" s="1"/>
  <c r="Z109" i="1"/>
  <c r="V20" i="8" s="1"/>
  <c r="Z107" i="1"/>
  <c r="V18" i="8" s="1"/>
  <c r="AB18" s="1"/>
  <c r="AC18" s="1"/>
  <c r="Z105" i="1"/>
  <c r="V16" i="8" s="1"/>
  <c r="Z103" i="1"/>
  <c r="V14" i="8"/>
  <c r="Z101" i="1"/>
  <c r="V12" i="8" s="1"/>
  <c r="Z99" i="1"/>
  <c r="V10" i="8"/>
  <c r="Z53" i="1"/>
  <c r="M6" i="8" s="1"/>
  <c r="Z82" i="1"/>
  <c r="M35" i="8" s="1"/>
  <c r="S35" s="1"/>
  <c r="T35" s="1"/>
  <c r="Z72" i="1"/>
  <c r="M25" i="8" s="1"/>
  <c r="S25" s="1"/>
  <c r="T25" s="1"/>
  <c r="Z66" i="1"/>
  <c r="M19" i="8" s="1"/>
  <c r="S19" s="1"/>
  <c r="T19" s="1"/>
  <c r="Z56" i="1"/>
  <c r="M9" i="8" s="1"/>
  <c r="BA87" i="1"/>
  <c r="P40" i="8" s="1"/>
  <c r="BA85" i="1"/>
  <c r="P38" i="8" s="1"/>
  <c r="S38" s="1"/>
  <c r="T38" s="1"/>
  <c r="BA83" i="1"/>
  <c r="P36" i="8" s="1"/>
  <c r="BA81" i="1"/>
  <c r="P34" i="8"/>
  <c r="BA79" i="1"/>
  <c r="P32" i="8" s="1"/>
  <c r="BA77" i="1"/>
  <c r="P30" i="8"/>
  <c r="BA75" i="1"/>
  <c r="P28" i="8" s="1"/>
  <c r="BA73" i="1"/>
  <c r="P26" i="8" s="1"/>
  <c r="BA71" i="1"/>
  <c r="P24" i="8" s="1"/>
  <c r="BA69" i="1"/>
  <c r="P22" i="8" s="1"/>
  <c r="S22" s="1"/>
  <c r="T22" s="1"/>
  <c r="BA67" i="1"/>
  <c r="P20" i="8" s="1"/>
  <c r="BA65" i="1"/>
  <c r="P18" i="8"/>
  <c r="BA63" i="1"/>
  <c r="P16" i="8" s="1"/>
  <c r="BA61" i="1"/>
  <c r="P14" i="8"/>
  <c r="BA59" i="1"/>
  <c r="P12" i="8" s="1"/>
  <c r="S12" s="1"/>
  <c r="T12" s="1"/>
  <c r="BA57" i="1"/>
  <c r="P10" i="8" s="1"/>
  <c r="BA55" i="1"/>
  <c r="P8" i="8" s="1"/>
  <c r="B53" i="1"/>
  <c r="AC53" s="1"/>
  <c r="B62"/>
  <c r="AC62" s="1"/>
  <c r="B60"/>
  <c r="AC60"/>
  <c r="B58"/>
  <c r="AC58" s="1"/>
  <c r="B56"/>
  <c r="AC56"/>
  <c r="B54"/>
  <c r="AC54" s="1"/>
  <c r="Z87"/>
  <c r="M40" i="8" s="1"/>
  <c r="S40" s="1"/>
  <c r="T40" s="1"/>
  <c r="Z85" i="1"/>
  <c r="M38" i="8" s="1"/>
  <c r="Z83" i="1"/>
  <c r="M36" i="8" s="1"/>
  <c r="S36" s="1"/>
  <c r="T36" s="1"/>
  <c r="Z81" i="1"/>
  <c r="M34" i="8" s="1"/>
  <c r="Z79" i="1"/>
  <c r="M32" i="8"/>
  <c r="S32" s="1"/>
  <c r="T32" s="1"/>
  <c r="Z77" i="1"/>
  <c r="M30" i="8" s="1"/>
  <c r="S30" s="1"/>
  <c r="T30" s="1"/>
  <c r="Z75" i="1"/>
  <c r="M28" i="8"/>
  <c r="Z73" i="1"/>
  <c r="M26" i="8" s="1"/>
  <c r="Z71" i="1"/>
  <c r="M24" i="8" s="1"/>
  <c r="S24" s="1"/>
  <c r="T24" s="1"/>
  <c r="Z69" i="1"/>
  <c r="M22" i="8" s="1"/>
  <c r="Z67" i="1"/>
  <c r="M20" i="8" s="1"/>
  <c r="S20" s="1"/>
  <c r="T20" s="1"/>
  <c r="Z65" i="1"/>
  <c r="M18" i="8" s="1"/>
  <c r="Z63" i="1"/>
  <c r="M16" i="8"/>
  <c r="S16" s="1"/>
  <c r="T16" s="1"/>
  <c r="Z61" i="1"/>
  <c r="M14" i="8" s="1"/>
  <c r="S14" s="1"/>
  <c r="T14" s="1"/>
  <c r="Z59" i="1"/>
  <c r="M12" i="8"/>
  <c r="Z57" i="1"/>
  <c r="M10" i="8" s="1"/>
  <c r="S10" s="1"/>
  <c r="T10" s="1"/>
  <c r="BA53" i="1"/>
  <c r="P6" i="8" s="1"/>
  <c r="BA86" i="1"/>
  <c r="P39" i="8" s="1"/>
  <c r="BA84" i="1"/>
  <c r="P37" i="8" s="1"/>
  <c r="BA82" i="1"/>
  <c r="P35" i="8" s="1"/>
  <c r="BA80" i="1"/>
  <c r="P33" i="8"/>
  <c r="BA78" i="1"/>
  <c r="P31" i="8" s="1"/>
  <c r="BA76" i="1"/>
  <c r="P29" i="8"/>
  <c r="BA74" i="1"/>
  <c r="P27" i="8" s="1"/>
  <c r="BA72" i="1"/>
  <c r="P25" i="8" s="1"/>
  <c r="BA70" i="1"/>
  <c r="P23" i="8" s="1"/>
  <c r="BA68" i="1"/>
  <c r="P21" i="8" s="1"/>
  <c r="BA66" i="1"/>
  <c r="P19" i="8" s="1"/>
  <c r="BA64" i="1"/>
  <c r="P17" i="8"/>
  <c r="BA62" i="1"/>
  <c r="P15" i="8" s="1"/>
  <c r="BA60" i="1"/>
  <c r="P13" i="8"/>
  <c r="BA58" i="1"/>
  <c r="P11" i="8" s="1"/>
  <c r="BA56" i="1"/>
  <c r="P9" i="8" s="1"/>
  <c r="B61" i="1"/>
  <c r="AC61" s="1"/>
  <c r="B59"/>
  <c r="AC59" s="1"/>
  <c r="B57"/>
  <c r="AC57" s="1"/>
  <c r="BA38"/>
  <c r="H33" i="8" s="1"/>
  <c r="BA30" i="1"/>
  <c r="H25" i="8"/>
  <c r="BA22" i="1"/>
  <c r="H17" i="8" s="1"/>
  <c r="BA14" i="1"/>
  <c r="H9" i="8" s="1"/>
  <c r="BA41" i="1"/>
  <c r="H36" i="8" s="1"/>
  <c r="BA33" i="1"/>
  <c r="H28" i="8"/>
  <c r="BA25" i="1"/>
  <c r="H20" i="8"/>
  <c r="BA17" i="1"/>
  <c r="H12" i="8"/>
  <c r="Z45" i="1"/>
  <c r="E40" i="8" s="1"/>
  <c r="Z11" i="1"/>
  <c r="E6" i="8" s="1"/>
  <c r="Z30" i="1"/>
  <c r="E25" i="8" s="1"/>
  <c r="K25" s="1"/>
  <c r="Z21" i="1"/>
  <c r="E16" i="8" s="1"/>
  <c r="AC26" i="1"/>
  <c r="B8" i="4"/>
  <c r="Z18" i="1"/>
  <c r="E13" i="8" s="1"/>
  <c r="K13" s="1"/>
  <c r="E23"/>
  <c r="Z36" i="1"/>
  <c r="E31" i="8" s="1"/>
  <c r="Z44" i="1"/>
  <c r="E39" i="8" s="1"/>
  <c r="Z17" i="1"/>
  <c r="E12" i="8" s="1"/>
  <c r="Z14" i="1"/>
  <c r="E9" i="8" s="1"/>
  <c r="AC264" i="1"/>
  <c r="AC288"/>
  <c r="AC25"/>
  <c r="B72" i="4"/>
  <c r="AC39" i="1"/>
  <c r="AC36"/>
  <c r="AC35"/>
  <c r="AC33"/>
  <c r="AC31"/>
  <c r="AC27"/>
  <c r="B38" i="4"/>
  <c r="B277" i="1"/>
  <c r="B20" i="8" s="1"/>
  <c r="B274" i="1"/>
  <c r="B17" i="8" s="1"/>
  <c r="B273" i="1"/>
  <c r="AC273" s="1"/>
  <c r="B28" i="4"/>
  <c r="B268" i="1"/>
  <c r="AC268" s="1"/>
  <c r="B267"/>
  <c r="AC267" s="1"/>
  <c r="B10" i="4"/>
  <c r="B263" i="1"/>
  <c r="B6" i="8" s="1"/>
  <c r="H15"/>
  <c r="BA36" i="1"/>
  <c r="H31" i="8"/>
  <c r="BA29" i="1"/>
  <c r="H24" i="8"/>
  <c r="BA37" i="1"/>
  <c r="H32" i="8"/>
  <c r="BA45" i="1"/>
  <c r="H40" i="8"/>
  <c r="BA18" i="1"/>
  <c r="H13" i="8"/>
  <c r="BA34" i="1"/>
  <c r="H29" i="8"/>
  <c r="BA42" i="1"/>
  <c r="H37" i="8"/>
  <c r="AC274" i="1"/>
  <c r="BA19"/>
  <c r="H14" i="8" s="1"/>
  <c r="BA16" i="1"/>
  <c r="H11" i="8"/>
  <c r="H19"/>
  <c r="BA32" i="1"/>
  <c r="H27" i="8" s="1"/>
  <c r="H35"/>
  <c r="B55" i="1"/>
  <c r="AC55" s="1"/>
  <c r="B158"/>
  <c r="AC158"/>
  <c r="B189"/>
  <c r="AC189"/>
  <c r="BA13"/>
  <c r="H8" i="8"/>
  <c r="AC271" i="1"/>
  <c r="B281"/>
  <c r="AC281" s="1"/>
  <c r="B297"/>
  <c r="B40" i="8" s="1"/>
  <c r="AC21" i="1"/>
  <c r="AC42"/>
  <c r="AC24"/>
  <c r="AS28" i="4"/>
  <c r="AS12"/>
  <c r="AS70"/>
  <c r="AS76"/>
  <c r="AS84"/>
  <c r="AA83" i="9"/>
  <c r="R28" i="7"/>
  <c r="F28"/>
  <c r="BA12" i="1"/>
  <c r="H7" i="8"/>
  <c r="B84" i="4"/>
  <c r="B52"/>
  <c r="B58"/>
  <c r="Z33" i="1"/>
  <c r="E28" i="8" s="1"/>
  <c r="K28" s="1"/>
  <c r="AC40" i="1"/>
  <c r="AC32"/>
  <c r="B71"/>
  <c r="AC71"/>
  <c r="B87"/>
  <c r="AC87"/>
  <c r="AS34" i="4"/>
  <c r="AS82"/>
  <c r="O28" i="7"/>
  <c r="BA31" i="1"/>
  <c r="H26" i="8" s="1"/>
  <c r="BA28" i="1"/>
  <c r="H23" i="8"/>
  <c r="BA44" i="1"/>
  <c r="H39" i="8" s="1"/>
  <c r="BA21" i="1"/>
  <c r="H16" i="8"/>
  <c r="B139" i="1"/>
  <c r="AC139" s="1"/>
  <c r="B192"/>
  <c r="AC192"/>
  <c r="B239"/>
  <c r="AC239"/>
  <c r="B255"/>
  <c r="AC255"/>
  <c r="B242"/>
  <c r="AC242"/>
  <c r="B276"/>
  <c r="B19" i="8"/>
  <c r="B284" i="1"/>
  <c r="B292"/>
  <c r="B35" i="8" s="1"/>
  <c r="B34" i="4"/>
  <c r="AS64"/>
  <c r="AS78"/>
  <c r="B16" i="8"/>
  <c r="AC293" i="1"/>
  <c r="AA73" i="9"/>
  <c r="AA57"/>
  <c r="C114"/>
  <c r="C122"/>
  <c r="C125"/>
  <c r="AA53"/>
  <c r="AA61"/>
  <c r="AA86"/>
  <c r="AA65"/>
  <c r="B11" i="8"/>
  <c r="AC297" i="1"/>
  <c r="B24" i="8"/>
  <c r="AC276" i="1"/>
  <c r="AC284"/>
  <c r="B27" i="8"/>
  <c r="BI24"/>
  <c r="BJ24" s="1"/>
  <c r="BA39"/>
  <c r="BB39" s="1"/>
  <c r="AJ38"/>
  <c r="AK38" s="1"/>
  <c r="AS39"/>
  <c r="AT39" s="1"/>
  <c r="Z141" i="1"/>
  <c r="AM10" i="8"/>
  <c r="AS10" s="1"/>
  <c r="AT10" s="1"/>
  <c r="Z143" i="1"/>
  <c r="AM12" i="8"/>
  <c r="AS12" s="1"/>
  <c r="AT12" s="1"/>
  <c r="Z145" i="1"/>
  <c r="AM14" i="8"/>
  <c r="AS14" s="1"/>
  <c r="AT14" s="1"/>
  <c r="Z147" i="1"/>
  <c r="AM16" i="8"/>
  <c r="AS16" s="1"/>
  <c r="AT16" s="1"/>
  <c r="AM18"/>
  <c r="Z151" i="1"/>
  <c r="AM20" i="8"/>
  <c r="AS20" s="1"/>
  <c r="AT20" s="1"/>
  <c r="AM22"/>
  <c r="Z155" i="1"/>
  <c r="AM24" i="8" s="1"/>
  <c r="AS24" s="1"/>
  <c r="AT24" s="1"/>
  <c r="AM26"/>
  <c r="Z159" i="1"/>
  <c r="AM28" i="8" s="1"/>
  <c r="AS28" s="1"/>
  <c r="AT28" s="1"/>
  <c r="AM30"/>
  <c r="AS30" s="1"/>
  <c r="AT30" s="1"/>
  <c r="Z163" i="1"/>
  <c r="AM32" i="8"/>
  <c r="AS32" s="1"/>
  <c r="AT32" s="1"/>
  <c r="AM34"/>
  <c r="Z167" i="1"/>
  <c r="AM36" i="8"/>
  <c r="AM38"/>
  <c r="Z171" i="1"/>
  <c r="AM40" i="8" s="1"/>
  <c r="AS40" s="1"/>
  <c r="AT40" s="1"/>
  <c r="AB36"/>
  <c r="AC36" s="1"/>
  <c r="AB40"/>
  <c r="AC40" s="1"/>
  <c r="S28"/>
  <c r="T28" s="1"/>
  <c r="S8"/>
  <c r="T8" s="1"/>
  <c r="Z13" i="1"/>
  <c r="E8" i="8" s="1"/>
  <c r="K8" s="1"/>
  <c r="Z37" i="1"/>
  <c r="E32" i="8" s="1"/>
  <c r="K32" s="1"/>
  <c r="L32" s="1"/>
  <c r="Z16" i="1"/>
  <c r="E11" i="8" s="1"/>
  <c r="K11" s="1"/>
  <c r="Z40" i="1"/>
  <c r="E35" i="8" s="1"/>
  <c r="Z32" i="1"/>
  <c r="E27" i="8" s="1"/>
  <c r="Z24" i="1"/>
  <c r="E19" i="8" s="1"/>
  <c r="Z26" i="1"/>
  <c r="E21" i="8" s="1"/>
  <c r="K21" s="1"/>
  <c r="Z42" i="1"/>
  <c r="E37" i="8" s="1"/>
  <c r="K37" s="1"/>
  <c r="L37" s="1"/>
  <c r="Z12" i="1"/>
  <c r="E7" i="8" s="1"/>
  <c r="K7" s="1"/>
  <c r="L7" s="1"/>
  <c r="Z20" i="1"/>
  <c r="E15" i="8" s="1"/>
  <c r="K15" s="1"/>
  <c r="Z22" i="1"/>
  <c r="E17" i="8" s="1"/>
  <c r="Z29" i="1"/>
  <c r="E24" i="8" s="1"/>
  <c r="Z41" i="1"/>
  <c r="E36" i="8" s="1"/>
  <c r="Z39" i="1"/>
  <c r="E34" i="8" s="1"/>
  <c r="Z31" i="1"/>
  <c r="E26" i="8" s="1"/>
  <c r="Z23" i="1"/>
  <c r="E18" i="8" s="1"/>
  <c r="BI9"/>
  <c r="BJ9" s="1"/>
  <c r="BI13"/>
  <c r="BJ13" s="1"/>
  <c r="BI7"/>
  <c r="BJ7" s="1"/>
  <c r="BI19"/>
  <c r="BJ19" s="1"/>
  <c r="BI27"/>
  <c r="BJ27" s="1"/>
  <c r="BI35"/>
  <c r="BJ35" s="1"/>
  <c r="BI20"/>
  <c r="BJ20" s="1"/>
  <c r="BI36"/>
  <c r="BJ36" s="1"/>
  <c r="BA19"/>
  <c r="BB19" s="1"/>
  <c r="BA27"/>
  <c r="BB27" s="1"/>
  <c r="BA26"/>
  <c r="BB26" s="1"/>
  <c r="BA32"/>
  <c r="BB32" s="1"/>
  <c r="BA6"/>
  <c r="BB6" s="1"/>
  <c r="BA7"/>
  <c r="BB7" s="1"/>
  <c r="BA8"/>
  <c r="BB8" s="1"/>
  <c r="BA10"/>
  <c r="BB10" s="1"/>
  <c r="BA11"/>
  <c r="BB11" s="1"/>
  <c r="BA12"/>
  <c r="BB12" s="1"/>
  <c r="BA14"/>
  <c r="BB14" s="1"/>
  <c r="AJ16"/>
  <c r="AK16" s="1"/>
  <c r="AJ11"/>
  <c r="AK11" s="1"/>
  <c r="AJ27"/>
  <c r="AK27" s="1"/>
  <c r="AJ10"/>
  <c r="AK10" s="1"/>
  <c r="AJ14"/>
  <c r="AK14" s="1"/>
  <c r="AJ18"/>
  <c r="AK18" s="1"/>
  <c r="AJ34"/>
  <c r="AK34" s="1"/>
  <c r="AS36"/>
  <c r="AT36" s="1"/>
  <c r="AS21"/>
  <c r="AT21" s="1"/>
  <c r="AS8"/>
  <c r="AT8" s="1"/>
  <c r="AS6"/>
  <c r="AT6" s="1"/>
  <c r="AS7"/>
  <c r="AT7" s="1"/>
  <c r="AS11"/>
  <c r="AT11" s="1"/>
  <c r="AS13"/>
  <c r="AT13" s="1"/>
  <c r="AB10"/>
  <c r="AC10" s="1"/>
  <c r="AB14"/>
  <c r="AC14" s="1"/>
  <c r="AB26"/>
  <c r="AC26" s="1"/>
  <c r="AB12"/>
  <c r="AC12" s="1"/>
  <c r="AB16"/>
  <c r="AC16" s="1"/>
  <c r="AB20"/>
  <c r="AC20" s="1"/>
  <c r="AB28"/>
  <c r="AC28" s="1"/>
  <c r="AB32"/>
  <c r="AC32" s="1"/>
  <c r="AB7"/>
  <c r="AC7" s="1"/>
  <c r="AB9"/>
  <c r="AC9" s="1"/>
  <c r="AB11"/>
  <c r="AC11" s="1"/>
  <c r="B10"/>
  <c r="BK33"/>
  <c r="BK17"/>
  <c r="BK32"/>
  <c r="BK16"/>
  <c r="BK36"/>
  <c r="BK19"/>
  <c r="BK34"/>
  <c r="BK18"/>
  <c r="AI21" i="9"/>
  <c r="F110"/>
  <c r="AI107"/>
  <c r="T147"/>
  <c r="F102"/>
  <c r="AO40"/>
  <c r="H175"/>
  <c r="AF101"/>
  <c r="H143"/>
  <c r="AC133"/>
  <c r="AI127"/>
  <c r="O83"/>
  <c r="G114"/>
  <c r="G89"/>
  <c r="AC41"/>
  <c r="AI26"/>
  <c r="O156"/>
  <c r="G128"/>
  <c r="AI41"/>
  <c r="AM53"/>
  <c r="AC113"/>
  <c r="O134"/>
  <c r="AI36"/>
  <c r="AO105"/>
  <c r="AA117"/>
  <c r="H174"/>
  <c r="G65"/>
  <c r="F77"/>
  <c r="O80"/>
  <c r="G134"/>
  <c r="AM80"/>
  <c r="AC40"/>
  <c r="AO113"/>
  <c r="AI35"/>
  <c r="Q34"/>
  <c r="F73"/>
  <c r="O118"/>
  <c r="AF121"/>
  <c r="F118"/>
  <c r="AI133"/>
  <c r="AE61"/>
  <c r="G110"/>
  <c r="AC115"/>
  <c r="AM73"/>
  <c r="AE69"/>
  <c r="AM69"/>
  <c r="H156"/>
  <c r="T174"/>
  <c r="AI115"/>
  <c r="AF113"/>
  <c r="H157"/>
  <c r="H145"/>
  <c r="AD57"/>
  <c r="AF107"/>
  <c r="G57"/>
  <c r="AD61"/>
  <c r="AI28"/>
  <c r="G98"/>
  <c r="O77"/>
  <c r="AI12"/>
  <c r="BK29" i="8"/>
  <c r="BK28"/>
  <c r="BK31"/>
  <c r="BK30"/>
  <c r="AI7" i="9"/>
  <c r="H172"/>
  <c r="F128"/>
  <c r="AL99"/>
  <c r="H152"/>
  <c r="G80"/>
  <c r="AE89"/>
  <c r="F80"/>
  <c r="AD89"/>
  <c r="H166"/>
  <c r="AI11"/>
  <c r="G131"/>
  <c r="AA113"/>
  <c r="AI34"/>
  <c r="AI9"/>
  <c r="AE80"/>
  <c r="AM77"/>
  <c r="AL121"/>
  <c r="O57"/>
  <c r="F89"/>
  <c r="AD73"/>
  <c r="G102"/>
  <c r="AF103"/>
  <c r="AI113"/>
  <c r="AE53"/>
  <c r="O69"/>
  <c r="F131"/>
  <c r="AI105"/>
  <c r="T148"/>
  <c r="AL107"/>
  <c r="AL105"/>
  <c r="BK11" i="8"/>
  <c r="BK10"/>
  <c r="O147" i="9"/>
  <c r="AI15"/>
  <c r="AO103"/>
  <c r="F134"/>
  <c r="AA121"/>
  <c r="AL119"/>
  <c r="H154"/>
  <c r="BK6" i="8"/>
  <c r="O128" i="9"/>
  <c r="AC119"/>
  <c r="AI121"/>
  <c r="H176"/>
  <c r="H165"/>
  <c r="F86"/>
  <c r="O148"/>
  <c r="AC34"/>
  <c r="AI13"/>
  <c r="I32"/>
  <c r="AI99"/>
  <c r="O73"/>
  <c r="I34"/>
  <c r="BK37" i="8"/>
  <c r="AI10" i="9"/>
  <c r="G61"/>
  <c r="AC127"/>
  <c r="AM65"/>
  <c r="AE86"/>
  <c r="AI18"/>
  <c r="G77"/>
  <c r="BK39" i="8"/>
  <c r="BK21"/>
  <c r="BK38"/>
  <c r="BK20"/>
  <c r="BK23"/>
  <c r="AL101" i="9"/>
  <c r="BK40" i="8"/>
  <c r="BK22"/>
  <c r="AC105" i="9"/>
  <c r="AO121"/>
  <c r="F125"/>
  <c r="AF99"/>
  <c r="F53"/>
  <c r="AI101"/>
  <c r="AI14"/>
  <c r="T157"/>
  <c r="AA99"/>
  <c r="F98"/>
  <c r="F122"/>
  <c r="G53"/>
  <c r="AF119"/>
  <c r="AO35"/>
  <c r="O65"/>
  <c r="O174"/>
  <c r="AE73"/>
  <c r="G122"/>
  <c r="O114"/>
  <c r="AC99"/>
  <c r="AA107"/>
  <c r="H149"/>
  <c r="AM83"/>
  <c r="AO117"/>
  <c r="H163"/>
  <c r="AM57"/>
  <c r="G73"/>
  <c r="F114"/>
  <c r="AC35"/>
  <c r="AA101"/>
  <c r="O86"/>
  <c r="O61"/>
  <c r="T166"/>
  <c r="AM89"/>
  <c r="AI119"/>
  <c r="AO115"/>
  <c r="AO42"/>
  <c r="AI30"/>
  <c r="F57"/>
  <c r="O166"/>
  <c r="O102"/>
  <c r="O125"/>
  <c r="AO36"/>
  <c r="AA119"/>
  <c r="AF117"/>
  <c r="AD69"/>
  <c r="AI22"/>
  <c r="G86"/>
  <c r="AC103"/>
  <c r="O122"/>
  <c r="AL113"/>
  <c r="AA115"/>
  <c r="AD77"/>
  <c r="AI24"/>
  <c r="F106"/>
  <c r="AI27"/>
  <c r="H148"/>
  <c r="AD83"/>
  <c r="AA103"/>
  <c r="AO41"/>
  <c r="BK13" i="8"/>
  <c r="BK12"/>
  <c r="BK15"/>
  <c r="BK14"/>
  <c r="AL117" i="9"/>
  <c r="AF115"/>
  <c r="G106"/>
  <c r="AI103"/>
  <c r="AD65"/>
  <c r="AC101"/>
  <c r="H167"/>
  <c r="AO99"/>
  <c r="G118"/>
  <c r="G83"/>
  <c r="AO34"/>
  <c r="O175"/>
  <c r="AD86"/>
  <c r="AI130"/>
  <c r="O98"/>
  <c r="AF105"/>
  <c r="O53"/>
  <c r="O89"/>
  <c r="AE77"/>
  <c r="F69"/>
  <c r="O106"/>
  <c r="O131"/>
  <c r="F83"/>
  <c r="AC42"/>
  <c r="AC117"/>
  <c r="H170"/>
  <c r="AM61"/>
  <c r="AC130"/>
  <c r="H158"/>
  <c r="T175"/>
  <c r="H147"/>
  <c r="BK9" i="8"/>
  <c r="BK8"/>
  <c r="AL103" i="9"/>
  <c r="BK25" i="8"/>
  <c r="AC107" i="9"/>
  <c r="AO101"/>
  <c r="AO119"/>
  <c r="AC121"/>
  <c r="AO107"/>
  <c r="AI25"/>
  <c r="AM86"/>
  <c r="AI42"/>
  <c r="AI29"/>
  <c r="AD53"/>
  <c r="O165"/>
  <c r="AC36"/>
  <c r="H161"/>
  <c r="O157"/>
  <c r="G69"/>
  <c r="F61"/>
  <c r="BK26" i="8"/>
  <c r="AE83" i="9"/>
  <c r="AD80"/>
  <c r="AE65"/>
  <c r="F65"/>
  <c r="AL115"/>
  <c r="O110"/>
  <c r="AI117"/>
  <c r="T165"/>
  <c r="AE57"/>
  <c r="AI40"/>
  <c r="AA105"/>
  <c r="T156"/>
  <c r="AI23"/>
  <c r="G125"/>
  <c r="BL22" i="8" l="1"/>
  <c r="BL18"/>
  <c r="BL14"/>
  <c r="BL10"/>
  <c r="BL40"/>
  <c r="BL34"/>
  <c r="BL30"/>
  <c r="BL25"/>
  <c r="BL19"/>
  <c r="BL15"/>
  <c r="BL11"/>
  <c r="BL23"/>
  <c r="BL36"/>
  <c r="BL31"/>
  <c r="BL20"/>
  <c r="BL16"/>
  <c r="BL12"/>
  <c r="BL8"/>
  <c r="BL38"/>
  <c r="BL32"/>
  <c r="BL28"/>
  <c r="BL21"/>
  <c r="BL17"/>
  <c r="BL13"/>
  <c r="BL9"/>
  <c r="BL39"/>
  <c r="BL33"/>
  <c r="BL29"/>
  <c r="B8"/>
  <c r="AC265" i="1"/>
  <c r="S26" i="8"/>
  <c r="T26" s="1"/>
  <c r="AB23"/>
  <c r="AC23" s="1"/>
  <c r="BI18"/>
  <c r="BJ18" s="1"/>
  <c r="AC278" i="1"/>
  <c r="B21" i="8"/>
  <c r="L13"/>
  <c r="BU13"/>
  <c r="BV13" s="1"/>
  <c r="BW13" s="1"/>
  <c r="S9"/>
  <c r="T9" s="1"/>
  <c r="S6"/>
  <c r="T6" s="1"/>
  <c r="S21"/>
  <c r="T21" s="1"/>
  <c r="S37"/>
  <c r="T37" s="1"/>
  <c r="B60" i="4"/>
  <c r="B285" i="1"/>
  <c r="B86"/>
  <c r="AC86" s="1"/>
  <c r="AC44"/>
  <c r="B296"/>
  <c r="AC294"/>
  <c r="B37" i="8"/>
  <c r="AC14" i="1"/>
  <c r="B140"/>
  <c r="AC140" s="1"/>
  <c r="B266"/>
  <c r="B26" i="4"/>
  <c r="B272" i="1"/>
  <c r="B146"/>
  <c r="AC146" s="1"/>
  <c r="B56" i="4"/>
  <c r="B283" i="1"/>
  <c r="B157"/>
  <c r="AC157" s="1"/>
  <c r="B76"/>
  <c r="AC76" s="1"/>
  <c r="B62" i="4"/>
  <c r="AC34" i="1"/>
  <c r="B80"/>
  <c r="AC80" s="1"/>
  <c r="B164"/>
  <c r="AC164" s="1"/>
  <c r="K27" i="8"/>
  <c r="AS22"/>
  <c r="AT22" s="1"/>
  <c r="AB19"/>
  <c r="AC19" s="1"/>
  <c r="AB35"/>
  <c r="AC35" s="1"/>
  <c r="K18"/>
  <c r="L18" s="1"/>
  <c r="K24"/>
  <c r="L24" s="1"/>
  <c r="AS26"/>
  <c r="AT26" s="1"/>
  <c r="B20" i="4"/>
  <c r="K6" i="8"/>
  <c r="L6" s="1"/>
  <c r="AB15"/>
  <c r="AC15" s="1"/>
  <c r="AB31"/>
  <c r="AC31" s="1"/>
  <c r="AJ23"/>
  <c r="AK23" s="1"/>
  <c r="AJ29"/>
  <c r="AK29" s="1"/>
  <c r="B196" i="1"/>
  <c r="AC196" s="1"/>
  <c r="B212"/>
  <c r="AC212" s="1"/>
  <c r="BA37" i="8"/>
  <c r="BB37" s="1"/>
  <c r="BI32"/>
  <c r="BJ32" s="1"/>
  <c r="B289" i="1"/>
  <c r="BI10" i="8"/>
  <c r="BJ10" s="1"/>
  <c r="BA13"/>
  <c r="BB13" s="1"/>
  <c r="B64" i="1"/>
  <c r="AC64" s="1"/>
  <c r="B232"/>
  <c r="AC232" s="1"/>
  <c r="B190"/>
  <c r="AC190" s="1"/>
  <c r="AC22"/>
  <c r="B67"/>
  <c r="AC67" s="1"/>
  <c r="B193"/>
  <c r="AC193" s="1"/>
  <c r="B151"/>
  <c r="AC151" s="1"/>
  <c r="B72"/>
  <c r="AC72" s="1"/>
  <c r="AC30"/>
  <c r="B54" i="4"/>
  <c r="B282" i="1"/>
  <c r="B198"/>
  <c r="AC198" s="1"/>
  <c r="B156"/>
  <c r="AC156" s="1"/>
  <c r="B82"/>
  <c r="AC82" s="1"/>
  <c r="B250"/>
  <c r="AC250" s="1"/>
  <c r="B74" i="4"/>
  <c r="B208" i="1"/>
  <c r="AC208" s="1"/>
  <c r="B85"/>
  <c r="AC85" s="1"/>
  <c r="B211"/>
  <c r="AC211" s="1"/>
  <c r="B241"/>
  <c r="AC241" s="1"/>
  <c r="BA22" i="8"/>
  <c r="BB22" s="1"/>
  <c r="BA34"/>
  <c r="BB34" s="1"/>
  <c r="B224" i="1"/>
  <c r="AC224" s="1"/>
  <c r="B248"/>
  <c r="AC248" s="1"/>
  <c r="B254"/>
  <c r="AC254" s="1"/>
  <c r="BI14" i="8"/>
  <c r="BJ14" s="1"/>
  <c r="B23"/>
  <c r="B70" i="4"/>
  <c r="K29" i="8"/>
  <c r="AC38" i="1"/>
  <c r="B70"/>
  <c r="AC70" s="1"/>
  <c r="B75"/>
  <c r="AC75" s="1"/>
  <c r="AC13"/>
  <c r="B97"/>
  <c r="AC97" s="1"/>
  <c r="B181"/>
  <c r="AC181" s="1"/>
  <c r="AC17"/>
  <c r="B269"/>
  <c r="B101"/>
  <c r="AC101" s="1"/>
  <c r="B227"/>
  <c r="AC227" s="1"/>
  <c r="B185"/>
  <c r="AC185" s="1"/>
  <c r="B65"/>
  <c r="AC65" s="1"/>
  <c r="B275"/>
  <c r="B233"/>
  <c r="AC233" s="1"/>
  <c r="AC23"/>
  <c r="AC37"/>
  <c r="B205"/>
  <c r="AC205" s="1"/>
  <c r="AC291"/>
  <c r="B34" i="8"/>
  <c r="AS38"/>
  <c r="AT38" s="1"/>
  <c r="AS35"/>
  <c r="AT35" s="1"/>
  <c r="AJ8"/>
  <c r="AK8" s="1"/>
  <c r="K14"/>
  <c r="K34"/>
  <c r="K19"/>
  <c r="BU19" s="1"/>
  <c r="BV19" s="1"/>
  <c r="BW19" s="1"/>
  <c r="AS34"/>
  <c r="AT34" s="1"/>
  <c r="AS18"/>
  <c r="AT18" s="1"/>
  <c r="B79" i="1"/>
  <c r="AC79" s="1"/>
  <c r="B68" i="4"/>
  <c r="AC263" i="1"/>
  <c r="B117"/>
  <c r="AC117" s="1"/>
  <c r="AB39" i="8"/>
  <c r="AC39" s="1"/>
  <c r="B201" i="1"/>
  <c r="AC201" s="1"/>
  <c r="AJ36" i="8"/>
  <c r="AK36" s="1"/>
  <c r="AC277" i="1"/>
  <c r="B223"/>
  <c r="AC223" s="1"/>
  <c r="AC287"/>
  <c r="AC290"/>
  <c r="AC270"/>
  <c r="AC28"/>
  <c r="K9" i="8"/>
  <c r="K23"/>
  <c r="S18"/>
  <c r="T18" s="1"/>
  <c r="S34"/>
  <c r="T34" s="1"/>
  <c r="B121" i="1"/>
  <c r="AC121" s="1"/>
  <c r="AB21" i="8"/>
  <c r="AC21" s="1"/>
  <c r="AS27"/>
  <c r="AT27" s="1"/>
  <c r="B159" i="1"/>
  <c r="AC159" s="1"/>
  <c r="AJ25" i="8"/>
  <c r="AK25" s="1"/>
  <c r="B191" i="1"/>
  <c r="AC191" s="1"/>
  <c r="B199"/>
  <c r="AC199" s="1"/>
  <c r="AJ22" i="8"/>
  <c r="AK22" s="1"/>
  <c r="B182" i="1"/>
  <c r="AC182" s="1"/>
  <c r="B206"/>
  <c r="AC206" s="1"/>
  <c r="BA21" i="8"/>
  <c r="BB21" s="1"/>
  <c r="BA38"/>
  <c r="BB38" s="1"/>
  <c r="B230" i="1"/>
  <c r="AC230" s="1"/>
  <c r="B236"/>
  <c r="AC236" s="1"/>
  <c r="AC279"/>
  <c r="BI30" i="8"/>
  <c r="BJ30" s="1"/>
  <c r="B286" i="1"/>
  <c r="B42" i="4"/>
  <c r="B14"/>
  <c r="B82"/>
  <c r="B12"/>
  <c r="K33" i="8"/>
  <c r="BU33" s="1"/>
  <c r="BV33" s="1"/>
  <c r="BW33" s="1"/>
  <c r="K20"/>
  <c r="L20" s="1"/>
  <c r="BA9"/>
  <c r="BB9" s="1"/>
  <c r="K26"/>
  <c r="L26" s="1"/>
  <c r="K17"/>
  <c r="BU17" s="1"/>
  <c r="BV17" s="1"/>
  <c r="BW17" s="1"/>
  <c r="K35"/>
  <c r="L35" s="1"/>
  <c r="K12"/>
  <c r="AJ17"/>
  <c r="AK17" s="1"/>
  <c r="AJ33"/>
  <c r="AK33" s="1"/>
  <c r="BA15"/>
  <c r="BB15" s="1"/>
  <c r="BA31"/>
  <c r="BB31" s="1"/>
  <c r="AS10" i="4"/>
  <c r="AS58"/>
  <c r="AS74"/>
  <c r="Z15" i="1"/>
  <c r="E10" i="8" s="1"/>
  <c r="L28"/>
  <c r="BU28"/>
  <c r="BV28" s="1"/>
  <c r="BW28" s="1"/>
  <c r="L19"/>
  <c r="K31"/>
  <c r="L29"/>
  <c r="BU29"/>
  <c r="BV29" s="1"/>
  <c r="BW29" s="1"/>
  <c r="L34"/>
  <c r="L15"/>
  <c r="BU15"/>
  <c r="BV15" s="1"/>
  <c r="BW15" s="1"/>
  <c r="L21"/>
  <c r="BU12"/>
  <c r="BV12" s="1"/>
  <c r="BW12" s="1"/>
  <c r="L12"/>
  <c r="L25"/>
  <c r="BU25"/>
  <c r="BV25" s="1"/>
  <c r="BW25" s="1"/>
  <c r="L17"/>
  <c r="L27"/>
  <c r="L11"/>
  <c r="BU11"/>
  <c r="BV11" s="1"/>
  <c r="BW11" s="1"/>
  <c r="L8"/>
  <c r="L9"/>
  <c r="BU9"/>
  <c r="BV9" s="1"/>
  <c r="BW9" s="1"/>
  <c r="L14"/>
  <c r="BU14"/>
  <c r="BV14" s="1"/>
  <c r="BW14" s="1"/>
  <c r="K10"/>
  <c r="L10" s="1"/>
  <c r="K30"/>
  <c r="L30" s="1"/>
  <c r="K22"/>
  <c r="L22" s="1"/>
  <c r="K16"/>
  <c r="L16" s="1"/>
  <c r="BL37"/>
  <c r="BL26"/>
  <c r="AS52" i="4"/>
  <c r="BU32" i="8"/>
  <c r="BV32" s="1"/>
  <c r="BW32" s="1"/>
  <c r="BU22"/>
  <c r="BV22" s="1"/>
  <c r="BW22" s="1"/>
  <c r="BL6"/>
  <c r="BU6"/>
  <c r="BV6" s="1"/>
  <c r="BW6" s="1"/>
  <c r="K38"/>
  <c r="L38" s="1"/>
  <c r="K36"/>
  <c r="L36" s="1"/>
  <c r="K39"/>
  <c r="L39" s="1"/>
  <c r="K40"/>
  <c r="L40" s="1"/>
  <c r="AC292" i="1"/>
  <c r="C134" i="9"/>
  <c r="AI6"/>
  <c r="AI8"/>
  <c r="BK7" i="8"/>
  <c r="BK27"/>
  <c r="BK35"/>
  <c r="BK24"/>
  <c r="BL27" l="1"/>
  <c r="BL35"/>
  <c r="BU35"/>
  <c r="BV35" s="1"/>
  <c r="BW35" s="1"/>
  <c r="BU7"/>
  <c r="BV7" s="1"/>
  <c r="BW7" s="1"/>
  <c r="BL7"/>
  <c r="L23"/>
  <c r="BU23"/>
  <c r="BV23" s="1"/>
  <c r="BW23" s="1"/>
  <c r="AC272" i="1"/>
  <c r="B15" i="8"/>
  <c r="B39"/>
  <c r="AC296" i="1"/>
  <c r="B12" i="8"/>
  <c r="AC269" i="1"/>
  <c r="B9" i="8"/>
  <c r="AC266" i="1"/>
  <c r="B28" i="8"/>
  <c r="AC285" i="1"/>
  <c r="BU16" i="8"/>
  <c r="BV16" s="1"/>
  <c r="BW16" s="1"/>
  <c r="BU37"/>
  <c r="BV37" s="1"/>
  <c r="BW37" s="1"/>
  <c r="BU26"/>
  <c r="BV26" s="1"/>
  <c r="BW26" s="1"/>
  <c r="L33"/>
  <c r="BU8"/>
  <c r="BV8" s="1"/>
  <c r="BW8" s="1"/>
  <c r="B25"/>
  <c r="AC282" i="1"/>
  <c r="AC286"/>
  <c r="B29" i="8"/>
  <c r="B18"/>
  <c r="AC275" i="1"/>
  <c r="AC289"/>
  <c r="B32" i="8"/>
  <c r="AC283" i="1"/>
  <c r="B26" i="8"/>
  <c r="BU18"/>
  <c r="BV18" s="1"/>
  <c r="BW18" s="1"/>
  <c r="BU10"/>
  <c r="BV10" s="1"/>
  <c r="BW10" s="1"/>
  <c r="BU20"/>
  <c r="BV20" s="1"/>
  <c r="BW20" s="1"/>
  <c r="BU27"/>
  <c r="BV27" s="1"/>
  <c r="BW27" s="1"/>
  <c r="BU21"/>
  <c r="BV21" s="1"/>
  <c r="BW21" s="1"/>
  <c r="BU34"/>
  <c r="BV34" s="1"/>
  <c r="BW34" s="1"/>
  <c r="L31"/>
  <c r="BU31"/>
  <c r="BV31" s="1"/>
  <c r="BW31" s="1"/>
  <c r="BU38"/>
  <c r="BV38" s="1"/>
  <c r="BW38" s="1"/>
  <c r="BU30"/>
  <c r="BV30" s="1"/>
  <c r="BW30" s="1"/>
  <c r="BL24"/>
  <c r="BU24"/>
  <c r="BV24" s="1"/>
  <c r="BW24" s="1"/>
  <c r="BU36"/>
  <c r="BV36" s="1"/>
  <c r="BW36" s="1"/>
  <c r="BU40"/>
  <c r="BV40" s="1"/>
  <c r="BW40" s="1"/>
  <c r="BU39"/>
  <c r="BV39" s="1"/>
  <c r="BW39" s="1"/>
</calcChain>
</file>

<file path=xl/comments1.xml><?xml version="1.0" encoding="utf-8"?>
<comments xmlns="http://schemas.openxmlformats.org/spreadsheetml/2006/main">
  <authors>
    <author>aashu</author>
  </authors>
  <commentList>
    <comment ref="R2" authorId="0">
      <text>
        <r>
          <rPr>
            <b/>
            <sz val="12"/>
            <color indexed="81"/>
            <rFont val="Tahoma"/>
            <family val="2"/>
          </rPr>
          <t>વિષય ક્લિક કરો</t>
        </r>
      </text>
    </comment>
  </commentList>
</comments>
</file>

<file path=xl/comments2.xml><?xml version="1.0" encoding="utf-8"?>
<comments xmlns="http://schemas.openxmlformats.org/spreadsheetml/2006/main">
  <authors>
    <author>aashu</author>
  </authors>
  <commentList>
    <comment ref="C20" authorId="0">
      <text>
        <r>
          <rPr>
            <b/>
            <sz val="12"/>
            <color indexed="81"/>
            <rFont val="Tahoma"/>
            <family val="2"/>
          </rPr>
          <t xml:space="preserve"> આ શીટમાં ફક્ત પરીણામની તારીજ ઉમેરવી</t>
        </r>
      </text>
    </comment>
  </commentList>
</comments>
</file>

<file path=xl/comments3.xml><?xml version="1.0" encoding="utf-8"?>
<comments xmlns="http://schemas.openxmlformats.org/spreadsheetml/2006/main">
  <authors>
    <author>aashu</author>
  </authors>
  <commentList>
    <comment ref="B1" authorId="0">
      <text>
        <r>
          <rPr>
            <b/>
            <sz val="14"/>
            <color indexed="81"/>
            <rFont val="Tahoma"/>
            <family val="2"/>
          </rPr>
          <t xml:space="preserve">આ પેઇઝને ટાઇટલ પેઇઝની પાછળ પ્રિન્ટ કરો. </t>
        </r>
      </text>
    </comment>
    <comment ref="T1" authorId="0">
      <text>
        <r>
          <rPr>
            <b/>
            <sz val="12"/>
            <color indexed="81"/>
            <rFont val="Tahoma"/>
            <family val="2"/>
          </rPr>
          <t>પછીના બે પેઇઝને આગળ- પાછળ પ્રિન્ટ કરો.ત્યારબાદ હિન્દી અને સા.વિ. વિષયો બહાર રહે તેમ વચ્ચેથી વાળી દો.</t>
        </r>
      </text>
    </comment>
    <comment ref="U1" authorId="0">
      <text/>
    </comment>
    <comment ref="BC1" authorId="0">
      <text>
        <r>
          <rPr>
            <b/>
            <sz val="11"/>
            <color indexed="81"/>
            <rFont val="Tahoma"/>
            <family val="2"/>
          </rPr>
          <t xml:space="preserve">પેઇઝને પ્રિન્ટ કરી આ ક્રમમાં ગોઠવો.
1. ટાઇટલ
2. વાળેલુ પેઇઝ
3. છેલ્લુ પેઇઝ </t>
        </r>
      </text>
    </comment>
  </commentList>
</comments>
</file>

<file path=xl/sharedStrings.xml><?xml version="1.0" encoding="utf-8"?>
<sst xmlns="http://schemas.openxmlformats.org/spreadsheetml/2006/main" count="6304" uniqueCount="325">
  <si>
    <t>શાળાનું નામ</t>
  </si>
  <si>
    <t>તાલુકો</t>
  </si>
  <si>
    <t>જિલ્લો</t>
  </si>
  <si>
    <t>શાળા કોડ (DISE)</t>
  </si>
  <si>
    <t>સી.અર.સી.</t>
  </si>
  <si>
    <t>પે.સેન્ટર</t>
  </si>
  <si>
    <t>ગામ/શહેર</t>
  </si>
  <si>
    <t>નામ</t>
  </si>
  <si>
    <t>સામાન્ય માહિતી</t>
  </si>
  <si>
    <t>કૌટુંબિક માહિતી</t>
  </si>
  <si>
    <t>શારીરિક વિકાસ</t>
  </si>
  <si>
    <t xml:space="preserve">ધોરણ </t>
  </si>
  <si>
    <t>હાજરીની વિગત</t>
  </si>
  <si>
    <t>ધોરણ</t>
  </si>
  <si>
    <t>કુલ દિવસો</t>
  </si>
  <si>
    <t>હાજરી</t>
  </si>
  <si>
    <t>નોંધ</t>
  </si>
  <si>
    <t>ધોરણ - 6</t>
  </si>
  <si>
    <t>વિષય</t>
  </si>
  <si>
    <t>ગ્રેડ</t>
  </si>
  <si>
    <t>સારા પાસાં</t>
  </si>
  <si>
    <t>સુધારાત્મક પાસાં</t>
  </si>
  <si>
    <t>ધોરણ - 7</t>
  </si>
  <si>
    <t>ધોરણ - 8</t>
  </si>
  <si>
    <t>વિશેષ સિદ્ધિઓ</t>
  </si>
  <si>
    <t>પ્રવૃત્તિ</t>
  </si>
  <si>
    <t>મેળવેલ સિદ્ધિ</t>
  </si>
  <si>
    <t>કક્ષા</t>
  </si>
  <si>
    <t>તારીખ</t>
  </si>
  <si>
    <t>ઇતર પરિક્ષા પરિણામ</t>
  </si>
  <si>
    <t>પરિક્ષા</t>
  </si>
  <si>
    <t>કુલ ગુણ</t>
  </si>
  <si>
    <t>મેળવેલ ગુણ</t>
  </si>
  <si>
    <t>સમગ્ર છાપ</t>
  </si>
  <si>
    <t>સારી બાબતો</t>
  </si>
  <si>
    <t>સુધારાત્મક બાબતો</t>
  </si>
  <si>
    <t>જાતિ</t>
  </si>
  <si>
    <t>જન્મતારીખ</t>
  </si>
  <si>
    <t>જન્મસ્થળ</t>
  </si>
  <si>
    <t>ધર્મ, જ્ઞાતિ, પેટાજ્ઞાતિ</t>
  </si>
  <si>
    <t>ઓળખની નિશાની</t>
  </si>
  <si>
    <t>વતનનું સરનામું</t>
  </si>
  <si>
    <t>હાલનું સરનામું</t>
  </si>
  <si>
    <t>કુટુંબની ભાષા</t>
  </si>
  <si>
    <t>જ.તા. શબ્દમાં</t>
  </si>
  <si>
    <t>જ.ર.નંબર</t>
  </si>
  <si>
    <t>પિતાનું નામ</t>
  </si>
  <si>
    <t>અભ્યાસ</t>
  </si>
  <si>
    <t>વ્યવસાયનું સ્થળ</t>
  </si>
  <si>
    <t>સંપર્ક નંબર</t>
  </si>
  <si>
    <t>માતાનું નામ</t>
  </si>
  <si>
    <t>માતાનો વ્યવસાય</t>
  </si>
  <si>
    <t>ભાઇ</t>
  </si>
  <si>
    <t>બહેન</t>
  </si>
  <si>
    <t>ગુજરાતી</t>
  </si>
  <si>
    <t>ગણિત</t>
  </si>
  <si>
    <t>હિન્દી</t>
  </si>
  <si>
    <t>અંગ્રેજી</t>
  </si>
  <si>
    <t>સા. વિ.</t>
  </si>
  <si>
    <t>વિ. અને ટેક્.</t>
  </si>
  <si>
    <t>સંસ્કૃત</t>
  </si>
  <si>
    <t>ચિત્ર</t>
  </si>
  <si>
    <t>સંગીત</t>
  </si>
  <si>
    <t>શા.શિ.</t>
  </si>
  <si>
    <t>કાર્યાનુભવ</t>
  </si>
  <si>
    <t>વ્યવસાય (વાર્ષિક આવક)</t>
  </si>
  <si>
    <t>રોલ નંબર</t>
  </si>
  <si>
    <t>કુમાર</t>
  </si>
  <si>
    <t>કન્યા</t>
  </si>
  <si>
    <t>પંદરમી એપ્રિલ ઓગ. છન્નુ</t>
  </si>
  <si>
    <t>ખારા</t>
  </si>
  <si>
    <t>હિન્દુ, પટેલ</t>
  </si>
  <si>
    <t>ધનેશભાઇ વીરજીભાઇ વિરપરા</t>
  </si>
  <si>
    <t>ઉમર (વર્ષ)</t>
  </si>
  <si>
    <t>ખેતી (50,000)</t>
  </si>
  <si>
    <t>વજન (કિગ્રા)</t>
  </si>
  <si>
    <t>ઉંચાઇ (સેમી)</t>
  </si>
  <si>
    <t>છાતી (સેમી)</t>
  </si>
  <si>
    <t>વિદ્યાર્થી પ્રોફાઇલ</t>
  </si>
  <si>
    <t>શાળા પ્રોફાઇલ</t>
  </si>
  <si>
    <t>5.3.3</t>
  </si>
  <si>
    <t>પરિશિષ્ટ - A</t>
  </si>
  <si>
    <t>રચનાત્મક મૂલ્યાંકન</t>
  </si>
  <si>
    <t xml:space="preserve"> વિષય-ગુજરાતી  </t>
  </si>
  <si>
    <t xml:space="preserve"> સત્ર-પ્રથમ  </t>
  </si>
  <si>
    <t>સત્રની કુલ ક્ષમતા-</t>
  </si>
  <si>
    <t>વિદ્યાર્થીનું નામ</t>
  </si>
  <si>
    <t>અભ્યાસક્રમ પ્રમાણે પ્રતિનિધિત્વરૂપે હેતુઓ (મહત્તમ 20)</t>
  </si>
  <si>
    <t>સત્રાંતે મેળવેલ નિશાનીની કુલ સંખ્યા</t>
  </si>
  <si>
    <t>X</t>
  </si>
  <si>
    <t>40 માંથી મેળવેલ ગુણ</t>
  </si>
  <si>
    <t>√</t>
  </si>
  <si>
    <t xml:space="preserve"> ?</t>
  </si>
  <si>
    <t>A</t>
  </si>
  <si>
    <t>sfgsgsfg</t>
  </si>
  <si>
    <t>dhjkghk</t>
  </si>
  <si>
    <t>શાળા બદલીની નોંધ</t>
  </si>
  <si>
    <t>સરનામું</t>
  </si>
  <si>
    <t>પ્રવેશ તારીખ</t>
  </si>
  <si>
    <t>શા. છો.તારીખ</t>
  </si>
  <si>
    <t>શા. છો. કારણ</t>
  </si>
  <si>
    <t>LC નંબર</t>
  </si>
  <si>
    <t xml:space="preserve"> સત્ર-દ્વિતિય</t>
  </si>
  <si>
    <t xml:space="preserve"> વિષય-ગણિત  </t>
  </si>
  <si>
    <t xml:space="preserve"> વિષય-વિજ્ઞાન &amp; ટેક્.</t>
  </si>
  <si>
    <t xml:space="preserve"> વિષય-હિન્દી</t>
  </si>
  <si>
    <t xml:space="preserve"> વિષય-સામાજિક વિજ્ઞાન</t>
  </si>
  <si>
    <t xml:space="preserve"> વિષય-અંગ્રેજી</t>
  </si>
  <si>
    <t xml:space="preserve"> વિષય-સંસ્કૃત</t>
  </si>
  <si>
    <t>સત્ર</t>
  </si>
  <si>
    <t>ક્ષેત્ર - 1</t>
  </si>
  <si>
    <t>વ્યક્તિગત અને સામાજિક ગુણો</t>
  </si>
  <si>
    <t>ક્ષેત્ર - 2</t>
  </si>
  <si>
    <t>વિદ્યાર્થી અભિગમ</t>
  </si>
  <si>
    <t>સાહિત્ય</t>
  </si>
  <si>
    <t>સંગીત અને કલા</t>
  </si>
  <si>
    <t>શા.શિ. અને યોગ</t>
  </si>
  <si>
    <t>સાંસ્કૃતિક કાર્યક્રમ અને સમાજસેવા</t>
  </si>
  <si>
    <t>ક્ષેત્ર - 3</t>
  </si>
  <si>
    <t>સહશૈક્ષણિક પ્રવૃત્તિઓ</t>
  </si>
  <si>
    <t>ક્ષેત્ર - 4</t>
  </si>
  <si>
    <t>કુલ</t>
  </si>
  <si>
    <t>પરિશિષ્ટ - B</t>
  </si>
  <si>
    <t>શાળામાં નિયમિત આવે છે.</t>
  </si>
  <si>
    <t>પ્રાર્થના સમેલનમાં નિયમિત સામેલ થાય છે.</t>
  </si>
  <si>
    <t>દરેક કાર્યમાં સમયનું પાલન કરે છે.</t>
  </si>
  <si>
    <t>શાળાની સ્વચ્છતા જાળવે છે.</t>
  </si>
  <si>
    <t>બીજા વિદ્યાર્થીને હદદરૂપ થાય છે.</t>
  </si>
  <si>
    <t>જૂથકાર્ય સારી રીતે કરે છે.</t>
  </si>
  <si>
    <t>કોઇપણ કાર્ય કરવામાં તત્પરતા દાખવે છે.</t>
  </si>
  <si>
    <t>નવીન બાબત ઉત્સાહપૂર્વક શીખે છે.</t>
  </si>
  <si>
    <t>શિક્ષકે સોંપેલ કાર્ય રસપૂર્વક કરે છે.</t>
  </si>
  <si>
    <t>શિક્ષકને માનપૂર્વક બોલાવે છે.</t>
  </si>
  <si>
    <t>શાળા મિલકતની જાળવણી રાખે છે.</t>
  </si>
  <si>
    <t>સ્વયંશિસ્ત જાળવે છે.</t>
  </si>
  <si>
    <t>વ્યક્તિગત સ્વચ્છતા અને સુઘડતા જાળવે છે.</t>
  </si>
  <si>
    <t>પર્યાવરણની સમતુલા જાળવવામાં ઉપયોગી થાય છે.</t>
  </si>
  <si>
    <t>ઇતર વાંચન</t>
  </si>
  <si>
    <t>ભાષાશુદ્ધિ સાથેનું મરોડદાર અક્ષરલેખન</t>
  </si>
  <si>
    <t>મૌલિક વાર્તાકથન, વક્તવ્ય</t>
  </si>
  <si>
    <t>સર્જનાત્મક લેખન</t>
  </si>
  <si>
    <t>ગાન/વાદન (અભિનય,બાળગીત વગેરે)</t>
  </si>
  <si>
    <t>ચિત્રકલા</t>
  </si>
  <si>
    <t>કાગળકામ/ટીએલએમ નિર્માણમાં સહયોગ</t>
  </si>
  <si>
    <t>માટીકામ/બાગકામ/શાળાસુશોભન</t>
  </si>
  <si>
    <t>યૌગિક ક્રિયાઓ ઉત્સાહપૂર્વક કરે છે.</t>
  </si>
  <si>
    <t>સરળ આસનો યોગ્ય સ્થિતિમાં કરે છે.</t>
  </si>
  <si>
    <t>સાંઘિક રમતો કૌશલ્યપૂર્વક રમે છે.</t>
  </si>
  <si>
    <t>ખેલકૂદ અને જિમ્નાસ્ટિક ગતિમેળ અને લયબદ્ધ રીતે કરે છે.</t>
  </si>
  <si>
    <t xml:space="preserve">પ્રતિનય,રીલે અને પ્રાદેશિક રમતોકુશળતાપૂર્વક રમે છે. </t>
  </si>
  <si>
    <t>ઉત્સવ ઉજવણી</t>
  </si>
  <si>
    <t>વિશેષદિન ઉજવણી</t>
  </si>
  <si>
    <t>નાટ્ય/નૃત્ય/વેશભૂષા/અભિનય</t>
  </si>
  <si>
    <t>વડીલબ,અશક્તો અને બીમાર વ્યક્તિઓને મદદરૂપ થાય છે.</t>
  </si>
  <si>
    <t>વિશિષ્ટ કૌશલ્યની અભિવ્યક્તિ</t>
  </si>
  <si>
    <t>પ્રશ્નમંચ(ક્વિઝ)માં ભાગીદારી</t>
  </si>
  <si>
    <t>મૂલ્યશિક્ષણની પ્રવૃત્તિમાં ભાગીદારી</t>
  </si>
  <si>
    <t>વિવિધ સ્પર્ધાઓ</t>
  </si>
  <si>
    <t>સંગ્રહ પ્રવૃત્તિ</t>
  </si>
  <si>
    <t>વિવિધ આલ્બમ</t>
  </si>
  <si>
    <t>ઇકો ક્લબની પ્રવૃત્તિમાં સહભાગિતા</t>
  </si>
  <si>
    <t>પ્રવાસ-પર્યટન/મુલાકાત</t>
  </si>
  <si>
    <t>હસ્તલિખિત અંક બનાવવા અને પ્રદર્શનમાં ભાગીદારી</t>
  </si>
  <si>
    <t>સરેરાશ ગુણ (બંને સત્રના આધારે વર્ષાંતે)</t>
  </si>
  <si>
    <t>કુલ ગુણઃ</t>
  </si>
  <si>
    <t>વર્ગ</t>
  </si>
  <si>
    <t>વર્ગશિક્ષકનું નામ</t>
  </si>
  <si>
    <t>વર્ષ</t>
  </si>
  <si>
    <t>પરિણામની તારીખ</t>
  </si>
  <si>
    <t xml:space="preserve"> ---</t>
  </si>
  <si>
    <t>નરેશભાઇ કે. ઢાકેચા</t>
  </si>
  <si>
    <t>2012-13</t>
  </si>
  <si>
    <t>વર્ગ પ્રોફાઇલ</t>
  </si>
  <si>
    <t xml:space="preserve">ધોરણ - </t>
  </si>
  <si>
    <t xml:space="preserve">વર્ગ - </t>
  </si>
  <si>
    <t>વર્ષ -</t>
  </si>
  <si>
    <t>વિજ્ઞાન- ટેક્</t>
  </si>
  <si>
    <t>સામા. વિજ્ઞાન</t>
  </si>
  <si>
    <t>^</t>
  </si>
  <si>
    <t>V</t>
  </si>
  <si>
    <t>વ્યક્તિત્વ વિકાસ</t>
  </si>
  <si>
    <t>C</t>
  </si>
  <si>
    <t>વર્ગશિક્ષક</t>
  </si>
  <si>
    <t>આચાર્યશ્રી</t>
  </si>
  <si>
    <t>ચકાસણી કરનાર</t>
  </si>
  <si>
    <t>અન્ય</t>
  </si>
  <si>
    <t>બક્ષીપંચ</t>
  </si>
  <si>
    <t>અ.જ.જા.</t>
  </si>
  <si>
    <t>અ.જા.</t>
  </si>
  <si>
    <t>ક</t>
  </si>
  <si>
    <t>કુ</t>
  </si>
  <si>
    <t>E</t>
  </si>
  <si>
    <t>D</t>
  </si>
  <si>
    <t>B</t>
  </si>
  <si>
    <t>મેળવેલ એકંદર ગ્રેડ</t>
  </si>
  <si>
    <t>રજી. સંખ્યા</t>
  </si>
  <si>
    <t xml:space="preserve"> </t>
  </si>
  <si>
    <t>પરિણામની તા.</t>
  </si>
  <si>
    <t>પે-સેન્ટર</t>
  </si>
  <si>
    <t>સીઆરસી</t>
  </si>
  <si>
    <t>વર્ગ શિક્ષક</t>
  </si>
  <si>
    <t>ગામ</t>
  </si>
  <si>
    <t>શાળા</t>
  </si>
  <si>
    <t>જિલ્લા પંચાયત શિક્ષણ સમિતિ, અમરેલી</t>
  </si>
  <si>
    <t xml:space="preserve">          </t>
  </si>
  <si>
    <t>સમગ્ર વ્યક્તિવિકાસ(વર્ષાંતે)</t>
  </si>
  <si>
    <t>વિજ્ઞાન અને ટેક્.</t>
  </si>
  <si>
    <t>સામાજિક વિજ્ઞાન</t>
  </si>
  <si>
    <t>સ્વા. શા. શિ.</t>
  </si>
  <si>
    <t>અભ્યાસિક તેમજ સહઅભ્યાસિક વિષયોના એકંદર ગુણ</t>
  </si>
  <si>
    <t>ટકાવારી</t>
  </si>
  <si>
    <t>સરેરાશ ગ્રેડ</t>
  </si>
  <si>
    <t>જ.ર.નં.</t>
  </si>
  <si>
    <t>પ્રથમ</t>
  </si>
  <si>
    <t>દ્વિતિય</t>
  </si>
  <si>
    <t>કસોટીનો પ્રકાર</t>
  </si>
  <si>
    <t>અનૌપચારિક સતત મૂલ્યાંકન</t>
  </si>
  <si>
    <t>ઔપચારિક સમયાંતરે મૂલ્યાંકન</t>
  </si>
  <si>
    <t>સ્વ-અધ્યયનકાર્યને આધારે મૂલ્યાંકન</t>
  </si>
  <si>
    <t>જન્મ તારીખ</t>
  </si>
  <si>
    <t>પરિણામની તારીજ</t>
  </si>
  <si>
    <t>પરિશિષ્ટ - C</t>
  </si>
  <si>
    <t>સત્રાન્તે મૂલ્યાંકન</t>
  </si>
  <si>
    <t>વિજ્ઞાન અને ટેક્નોલોજી</t>
  </si>
  <si>
    <t>અહીં વિદ્યાર્થીની સામાન્ય માહિતી ઉમેરો. આપે ફક્ત સફેદ ખાના ભરવાના છે. આ માહિતી અન્ય પત્રકોમાં ઉપયોગમાં લેવાશે. આ ફક્ત ડેટા-એન્ટ્રી શીટ છે. પ્રિન્ટ કરશો નહી.</t>
  </si>
  <si>
    <t>ગાંધીનગર</t>
  </si>
  <si>
    <t>ગુજરાત શૈક્ષણિક સંશોધન અને તાલીમ પરિષદ,</t>
  </si>
  <si>
    <t>સર્વગ્રાહી વિકાસાત્મક સંગૃહિત પ્રગતિપત્રક</t>
  </si>
  <si>
    <t>(ધોરણ 6 થી 8)</t>
  </si>
  <si>
    <t>ધો-6માં પ્રવેશ તારીખ</t>
  </si>
  <si>
    <t>રોલ નંબર સિલેક્ટ કરો</t>
  </si>
  <si>
    <t>પરિશિષ્ટ - F</t>
  </si>
  <si>
    <t>સંચાલક</t>
  </si>
  <si>
    <t>સારા પાસાંઓ</t>
  </si>
  <si>
    <t>સુધારાત્મક પાસાંઓ</t>
  </si>
  <si>
    <t>શિક્ષકની સહી</t>
  </si>
  <si>
    <t>પ્રવૃત્તિની વિગત</t>
  </si>
  <si>
    <t>કક્ષા/સ્થળ</t>
  </si>
  <si>
    <t>પરિક્ષાનું નામ</t>
  </si>
  <si>
    <t>પરિક્ષાની તારીખ</t>
  </si>
  <si>
    <t>ઇતર પરિક્ષાનું પરિણામ</t>
  </si>
  <si>
    <t>ધોરણના સંદર્ભમાં જોવા મળેલ સારી બાબતો</t>
  </si>
  <si>
    <t>ધોરણના સંદર્ભમાં જોવા મળેલ સુધારાત્મક બાબતો</t>
  </si>
  <si>
    <t>નોંધ કરનારની સહી</t>
  </si>
  <si>
    <t>વાલીની સહી</t>
  </si>
  <si>
    <t>વાંચન સારુ</t>
  </si>
  <si>
    <t>અભ્યાસમાં વધારે ધ્યાન આપવું,</t>
  </si>
  <si>
    <t>ધોરણ 6 થી 8 સુધીમા શાળા બદલીની નોંધ</t>
  </si>
  <si>
    <t>LC નં.</t>
  </si>
  <si>
    <t>ગોહેલ રાજેશભાઇ ચીથરભાઇ</t>
  </si>
  <si>
    <t>ખિમસુરીયા સાહિલકુમાર અરજણભાઇ</t>
  </si>
  <si>
    <t>ગરણિયા મયુરકુમાર અશોકભાઇ</t>
  </si>
  <si>
    <t>ગરણિયા અલ્પેશકુમાર મેરામભાઇ</t>
  </si>
  <si>
    <t>ગરણિયા મિલન પોપટભાઇ</t>
  </si>
  <si>
    <t>ગરણિયા મોહિત રાવતભાઇ</t>
  </si>
  <si>
    <t>ગરણિયા સુમિત પોપટભાઇ</t>
  </si>
  <si>
    <t>ગરણિયા રામકુભાઇ સાર્દૂળભાઇ</t>
  </si>
  <si>
    <t>ડેર હિતેષકુમાર પ્રતાપભાઇ</t>
  </si>
  <si>
    <t>વેકરીયા વિશાલકુમાર દિપકભાઇ</t>
  </si>
  <si>
    <t>માણસુરીયા મહેન્દ્રભાઇ ભૂપતભાઇ</t>
  </si>
  <si>
    <t>પરમાર અજયકુમાર રમેશભાઇ</t>
  </si>
  <si>
    <t>કંડોળીયા અલ્પેશકુમાર ભરતભાઇ</t>
  </si>
  <si>
    <t>મકવાણા તરંગકુમાર કિશોરભાઇ</t>
  </si>
  <si>
    <t>ઢીમેચા સતીષ હનુભાઇ</t>
  </si>
  <si>
    <t>ખુમાણ શિવરાજભાઇ બાબુભાઇ</t>
  </si>
  <si>
    <t>માથાસુરીયા દિનેશભાઇ અમરાભાઇ</t>
  </si>
  <si>
    <t>વાઘેલા હરેશ જીલુભાઇ</t>
  </si>
  <si>
    <t>પરમાર દિલીપકુમાર મધુભાઇ</t>
  </si>
  <si>
    <t>વિરપરા કૃણાલ હરેશભાઇ</t>
  </si>
  <si>
    <t>મકરૂબિયા જીજ્ઞેશભાઇ અશોકભાઇ</t>
  </si>
  <si>
    <t>ખિમસુરીયા જ્યોત્સના મુકેશભાઇ</t>
  </si>
  <si>
    <t>ગરણિયા રાજલબેન સામતભાઇ</t>
  </si>
  <si>
    <t>ગરણિયા નિરાલીબેન પ્રદીપભાઇ</t>
  </si>
  <si>
    <t>ગરણિયા રાધાબેન લક્ષ્મણભાઇ</t>
  </si>
  <si>
    <t>ગૌસ્વામિ મયુરીબેન રમેશગીરી</t>
  </si>
  <si>
    <t>બતાડા જાનકી વાલાભાઇ</t>
  </si>
  <si>
    <t>બતાડા ક્રિષ્નાબેન દેવશીભાઇ</t>
  </si>
  <si>
    <t>પરમાર અનિષા રમેશભાઇ</t>
  </si>
  <si>
    <t>મકરૂબિયા નમ્રતા વશરામભાઇ</t>
  </si>
  <si>
    <t>5.3.4</t>
  </si>
  <si>
    <t>5.3.5</t>
  </si>
  <si>
    <t>5.3.6</t>
  </si>
  <si>
    <t>5.3.7</t>
  </si>
  <si>
    <t>5.3.8</t>
  </si>
  <si>
    <t>5.3.9</t>
  </si>
  <si>
    <t>5.3.10</t>
  </si>
  <si>
    <t>5.3.11</t>
  </si>
  <si>
    <t>5.3.12</t>
  </si>
  <si>
    <t>5.3.13</t>
  </si>
  <si>
    <t>5.3.14</t>
  </si>
  <si>
    <t>5.3.15</t>
  </si>
  <si>
    <t>5.3.16</t>
  </si>
  <si>
    <t>5.3.17</t>
  </si>
  <si>
    <t>કટેગરી</t>
  </si>
  <si>
    <t>વડીલો,અશક્તો અને બીમાર વ્યક્તિઓને મદદરૂપ થાય છે.</t>
  </si>
  <si>
    <t>બીજા વિદ્યાર્થીને મદદરૂપ થાય છે.</t>
  </si>
  <si>
    <t>અનુક્રમણિકા</t>
  </si>
  <si>
    <t>શાળા અને વર્ગ માહિતી</t>
  </si>
  <si>
    <t>વિદ્યાર્થી માહિતી</t>
  </si>
  <si>
    <t>પરિશિષ્ટ A રચનાત્મક મૂલ્યાંકન</t>
  </si>
  <si>
    <t>પરિશિષ્ટ B  વિકાસાત્મક મૂલ્યાંકન</t>
  </si>
  <si>
    <t>પરિશિષ્ટ C  પરિણામ પત્રક મુખપૃષ્ઠ</t>
  </si>
  <si>
    <t>શાળા અને વર્ગ વિશેની માહિતી આપો.</t>
  </si>
  <si>
    <t>પરિશિષ્ટ C  પરિણામ પત્રક</t>
  </si>
  <si>
    <t>આ શીટમાં ફક્ત હેતુઓ(મુદ્દાઓ) અને તેને સંબંધિત નિશાની જ કરવાની છે. બાકીની ગણતરીઓ આપોઆપ થશે. A4 પેપરમાં પ્રિન્ટ કરો...</t>
  </si>
  <si>
    <t>વિકાસાત્મક મૂલ્યાંકનમાં બંને સત્રમાં 40 વિધાનો માટે 10માંથી ગુણ આપો.  Legal પેપરમાં પ્રિન્ટ કરો...</t>
  </si>
  <si>
    <t>પરિણામ પત્રક મુખપૃષ્ઠમાં ફક્ત પરિણામની તારીજ ઉમેરો. Legal પેપરમાં પ્રિન્ટ કરો...</t>
  </si>
  <si>
    <t>પરિણામ પત્રકમાં ફક્ત સત્રાંતે લેખિત મૂલ્યાંકન અને સ્વ-અધ્યયનના આધારે મૂલ્યાંકનના ગુણ ઉમેરો. Legal પેપરમાં પ્રિન્ટ કરો...</t>
  </si>
  <si>
    <t>ફક્ત પ્રિન્ટ માટે. રોલ નં. સિલેક્ટ કરો અને A4 પેપરમાં પ્રિન્ટ કરો...</t>
  </si>
  <si>
    <t>Created By</t>
  </si>
  <si>
    <t>Primary Teacher At Khara Primary School Ta: Liliya Dist: Amreli</t>
  </si>
  <si>
    <t>NARESH K. DHAKECHA</t>
  </si>
  <si>
    <t>SchoolPro Primary By Naresh Dhakecha - A Primary School Software</t>
  </si>
  <si>
    <t>વિદ્યાર્થીઓની વિગતવાર માહિતી આપો. આ શીટ ફક્ત ડેટા-એન્ટ્રી માટે જ છે. પ્રિન્ટ કરશો નહી.</t>
  </si>
  <si>
    <t xml:space="preserve">આ શીટમાં ફક્ત હેતુઓ(મુદ્દાઓ) અને તેને સંબંધિત નિશાની જ ઉમેરવાની છે. બાકીની ગણતરીઓ આપોઆપ થશે. </t>
  </si>
  <si>
    <t>પરિશિષ્ટ F  સર્વગ્રાહી વિકાસાત્મક સંગૃહીત પ્રગતિપત્રક</t>
  </si>
  <si>
    <t>Published At: www.shalasetu.co.in</t>
  </si>
  <si>
    <t>ભારતિય સંસ્કૃતિ</t>
  </si>
  <si>
    <t>5.5.12</t>
  </si>
  <si>
    <t>5.6.14</t>
  </si>
  <si>
    <t>શ્રી બી.આર.આંબેડકર પ્રાથમિક શાળા</t>
  </si>
  <si>
    <t>રાજકોટ</t>
  </si>
  <si>
    <t>નગર પ્રાથમિક શિક્ષણ સમિતિ, રાજકોટ.</t>
  </si>
  <si>
    <t>સી.આર.સી. નંબર-૪ રાજકોટ</t>
  </si>
  <si>
    <t>શાળા નંબર-૧૦ રાજકોટ</t>
  </si>
</sst>
</file>

<file path=xl/styles.xml><?xml version="1.0" encoding="utf-8"?>
<styleSheet xmlns="http://schemas.openxmlformats.org/spreadsheetml/2006/main">
  <numFmts count="1">
    <numFmt numFmtId="164" formatCode="dd/mm/yyyy;@"/>
  </numFmts>
  <fonts count="90">
    <font>
      <sz val="11"/>
      <color theme="1"/>
      <name val="Calibri"/>
      <family val="2"/>
      <scheme val="minor"/>
    </font>
    <font>
      <u/>
      <sz val="10"/>
      <color indexed="12"/>
      <name val="Arial"/>
      <family val="2"/>
    </font>
    <font>
      <b/>
      <sz val="10"/>
      <name val="Arial"/>
      <family val="2"/>
    </font>
    <font>
      <sz val="10"/>
      <name val="Arial"/>
      <family val="2"/>
    </font>
    <font>
      <sz val="9"/>
      <name val="Arial"/>
      <family val="2"/>
    </font>
    <font>
      <sz val="11"/>
      <name val="Arial"/>
      <family val="2"/>
    </font>
    <font>
      <sz val="12"/>
      <name val="Arial"/>
      <family val="2"/>
    </font>
    <font>
      <b/>
      <sz val="12"/>
      <name val="Arial"/>
      <family val="2"/>
    </font>
    <font>
      <sz val="8"/>
      <name val="Arial"/>
      <family val="2"/>
    </font>
    <font>
      <b/>
      <sz val="9"/>
      <name val="Arial"/>
      <family val="2"/>
    </font>
    <font>
      <sz val="12"/>
      <name val="TERAFONT-TRILOCHAN"/>
      <family val="2"/>
      <charset val="2"/>
    </font>
    <font>
      <sz val="9"/>
      <name val="TERAFONT-TRILOCHAN"/>
      <family val="2"/>
      <charset val="2"/>
    </font>
    <font>
      <sz val="12"/>
      <name val="Times New Roman"/>
      <family val="1"/>
    </font>
    <font>
      <b/>
      <i/>
      <sz val="10"/>
      <name val="Arial"/>
      <family val="2"/>
    </font>
    <font>
      <b/>
      <sz val="12"/>
      <name val="TERAFONT-TRILOCHAN"/>
      <family val="2"/>
      <charset val="2"/>
    </font>
    <font>
      <b/>
      <sz val="14"/>
      <name val="Arial"/>
      <family val="2"/>
    </font>
    <font>
      <sz val="14"/>
      <name val="Arial"/>
      <family val="2"/>
    </font>
    <font>
      <i/>
      <sz val="24"/>
      <name val="TERAFONT-MENKA"/>
      <family val="2"/>
      <charset val="2"/>
    </font>
    <font>
      <sz val="14"/>
      <name val="TERAFONT-TRILOCHAN"/>
      <family val="2"/>
      <charset val="2"/>
    </font>
    <font>
      <sz val="22"/>
      <name val="TERAFONT-MENKA"/>
      <family val="2"/>
      <charset val="2"/>
    </font>
    <font>
      <i/>
      <sz val="18"/>
      <name val="TERAFONT-TRILOCHAN"/>
      <family val="2"/>
      <charset val="2"/>
    </font>
    <font>
      <sz val="10"/>
      <name val="TERAFONT-TRILOCHAN"/>
      <family val="2"/>
      <charset val="2"/>
    </font>
    <font>
      <sz val="16"/>
      <name val="TERAFONT-TRILOCHAN"/>
      <family val="2"/>
      <charset val="2"/>
    </font>
    <font>
      <b/>
      <sz val="13"/>
      <name val="Arial"/>
      <family val="2"/>
    </font>
    <font>
      <b/>
      <i/>
      <sz val="11"/>
      <name val="Arial"/>
      <family val="2"/>
    </font>
    <font>
      <b/>
      <sz val="8"/>
      <name val="Arial"/>
      <family val="2"/>
    </font>
    <font>
      <sz val="10"/>
      <name val="Times New Roman"/>
      <family val="1"/>
    </font>
    <font>
      <sz val="13"/>
      <name val="Arial"/>
      <family val="2"/>
    </font>
    <font>
      <b/>
      <sz val="12"/>
      <name val="Times New Roman"/>
      <family val="1"/>
    </font>
    <font>
      <b/>
      <sz val="13"/>
      <name val="Times New Roman"/>
      <family val="1"/>
    </font>
    <font>
      <b/>
      <sz val="11"/>
      <name val="Times New Roman"/>
      <family val="1"/>
    </font>
    <font>
      <b/>
      <sz val="14"/>
      <color indexed="81"/>
      <name val="Tahoma"/>
      <family val="2"/>
    </font>
    <font>
      <b/>
      <sz val="12"/>
      <color indexed="81"/>
      <name val="Tahoma"/>
      <family val="2"/>
    </font>
    <font>
      <b/>
      <sz val="11"/>
      <color indexed="81"/>
      <name val="Tahoma"/>
      <family val="2"/>
    </font>
    <font>
      <b/>
      <i/>
      <sz val="24"/>
      <name val="Arial"/>
      <family val="2"/>
    </font>
    <font>
      <b/>
      <sz val="16"/>
      <name val="Arial"/>
      <family val="2"/>
    </font>
    <font>
      <b/>
      <i/>
      <sz val="10"/>
      <name val="Times New Roman"/>
      <family val="1"/>
    </font>
    <font>
      <sz val="11"/>
      <color theme="1"/>
      <name val="Calibri"/>
      <family val="2"/>
      <scheme val="minor"/>
    </font>
    <font>
      <sz val="10"/>
      <color theme="1"/>
      <name val="Calibri"/>
      <family val="2"/>
      <scheme val="minor"/>
    </font>
    <font>
      <i/>
      <sz val="10"/>
      <color theme="2" tint="-0.89999084444715716"/>
      <name val="Calibri"/>
      <family val="2"/>
      <scheme val="minor"/>
    </font>
    <font>
      <b/>
      <sz val="10"/>
      <color theme="9" tint="-0.499984740745262"/>
      <name val="Calibri"/>
      <family val="2"/>
      <scheme val="minor"/>
    </font>
    <font>
      <sz val="11"/>
      <color theme="5" tint="-0.249977111117893"/>
      <name val="Calibri"/>
      <family val="2"/>
      <scheme val="minor"/>
    </font>
    <font>
      <i/>
      <sz val="11"/>
      <color theme="1"/>
      <name val="Calibri"/>
      <family val="2"/>
      <scheme val="minor"/>
    </font>
    <font>
      <b/>
      <sz val="14"/>
      <color rgb="FF0000FF"/>
      <name val="Arial"/>
      <family val="2"/>
    </font>
    <font>
      <i/>
      <sz val="10"/>
      <color theme="1"/>
      <name val="Calibri"/>
      <family val="2"/>
      <scheme val="minor"/>
    </font>
    <font>
      <sz val="10"/>
      <color theme="9" tint="-0.499984740745262"/>
      <name val="Calibri"/>
      <family val="2"/>
      <scheme val="minor"/>
    </font>
    <font>
      <b/>
      <sz val="10"/>
      <color theme="1"/>
      <name val="Calibri"/>
      <family val="2"/>
      <scheme val="minor"/>
    </font>
    <font>
      <sz val="7"/>
      <color theme="1"/>
      <name val="Calibri"/>
      <family val="2"/>
      <scheme val="minor"/>
    </font>
    <font>
      <sz val="8"/>
      <color theme="1"/>
      <name val="Calibri"/>
      <family val="2"/>
      <scheme val="minor"/>
    </font>
    <font>
      <sz val="9"/>
      <color theme="1"/>
      <name val="Calibri"/>
      <family val="2"/>
      <scheme val="minor"/>
    </font>
    <font>
      <b/>
      <sz val="12"/>
      <color theme="9" tint="-0.499984740745262"/>
      <name val="Arial"/>
      <family val="2"/>
    </font>
    <font>
      <b/>
      <sz val="11"/>
      <color theme="9" tint="-0.499984740745262"/>
      <name val="Arial"/>
      <family val="2"/>
    </font>
    <font>
      <sz val="16"/>
      <color theme="1"/>
      <name val="Calibri"/>
      <family val="2"/>
      <scheme val="minor"/>
    </font>
    <font>
      <sz val="11"/>
      <name val="Calibri"/>
      <family val="2"/>
      <scheme val="minor"/>
    </font>
    <font>
      <i/>
      <sz val="9"/>
      <color theme="2" tint="-0.89999084444715716"/>
      <name val="Calibri"/>
      <family val="2"/>
      <scheme val="minor"/>
    </font>
    <font>
      <b/>
      <sz val="9"/>
      <color theme="9" tint="-0.499984740745262"/>
      <name val="Calibri"/>
      <family val="2"/>
      <scheme val="minor"/>
    </font>
    <font>
      <sz val="12"/>
      <color theme="5" tint="-0.249977111117893"/>
      <name val="Arial"/>
      <family val="2"/>
    </font>
    <font>
      <sz val="14"/>
      <color theme="1"/>
      <name val="Calibri"/>
      <family val="2"/>
      <scheme val="minor"/>
    </font>
    <font>
      <u/>
      <sz val="14"/>
      <color theme="5" tint="-0.249977111117893"/>
      <name val="Arial"/>
      <family val="2"/>
    </font>
    <font>
      <sz val="14"/>
      <color theme="5" tint="-0.249977111117893"/>
      <name val="Arial"/>
      <family val="2"/>
    </font>
    <font>
      <b/>
      <sz val="12"/>
      <color rgb="FF7030A0"/>
      <name val="Calibri"/>
      <family val="2"/>
      <scheme val="minor"/>
    </font>
    <font>
      <i/>
      <sz val="14"/>
      <color theme="2" tint="-0.89999084444715716"/>
      <name val="Calibri"/>
      <family val="2"/>
      <scheme val="minor"/>
    </font>
    <font>
      <b/>
      <sz val="12"/>
      <color rgb="FFFF0000"/>
      <name val="Calibri"/>
      <family val="2"/>
      <scheme val="minor"/>
    </font>
    <font>
      <b/>
      <sz val="12"/>
      <color theme="7" tint="0.79998168889431442"/>
      <name val="Calibri"/>
      <family val="2"/>
      <scheme val="minor"/>
    </font>
    <font>
      <b/>
      <sz val="14"/>
      <color rgb="FFFF0000"/>
      <name val="Calibri"/>
      <family val="2"/>
      <scheme val="minor"/>
    </font>
    <font>
      <sz val="18"/>
      <color theme="5" tint="-0.249977111117893"/>
      <name val="Arial"/>
      <family val="2"/>
    </font>
    <font>
      <u/>
      <sz val="12"/>
      <color rgb="FFC00000"/>
      <name val="Arial"/>
      <family val="2"/>
    </font>
    <font>
      <b/>
      <sz val="12"/>
      <color rgb="FFC00000"/>
      <name val="Calibri"/>
      <family val="2"/>
      <scheme val="minor"/>
    </font>
    <font>
      <sz val="11"/>
      <color theme="5" tint="-0.249977111117893"/>
      <name val="Arial"/>
      <family val="2"/>
    </font>
    <font>
      <sz val="18"/>
      <color theme="9" tint="-0.499984740745262"/>
      <name val="Calibri"/>
      <family val="2"/>
      <scheme val="minor"/>
    </font>
    <font>
      <sz val="12"/>
      <name val="Calibri"/>
      <family val="2"/>
      <scheme val="minor"/>
    </font>
    <font>
      <sz val="10"/>
      <name val="Calibri"/>
      <family val="2"/>
      <scheme val="minor"/>
    </font>
    <font>
      <b/>
      <sz val="11"/>
      <name val="Calibri"/>
      <family val="2"/>
      <scheme val="minor"/>
    </font>
    <font>
      <b/>
      <sz val="18"/>
      <color theme="1"/>
      <name val="Calibri"/>
      <family val="2"/>
      <scheme val="minor"/>
    </font>
    <font>
      <b/>
      <sz val="16"/>
      <color theme="0"/>
      <name val="Calibri"/>
      <family val="2"/>
      <scheme val="minor"/>
    </font>
    <font>
      <b/>
      <i/>
      <sz val="22"/>
      <color theme="9" tint="-0.499984740745262"/>
      <name val="Times New Roman"/>
      <family val="1"/>
    </font>
    <font>
      <b/>
      <sz val="16"/>
      <color theme="7" tint="-0.499984740745262"/>
      <name val="Calibri"/>
      <family val="2"/>
      <scheme val="minor"/>
    </font>
    <font>
      <b/>
      <sz val="18"/>
      <color theme="7" tint="-0.499984740745262"/>
      <name val="Calibri"/>
      <family val="2"/>
      <scheme val="minor"/>
    </font>
    <font>
      <b/>
      <sz val="11"/>
      <color theme="9" tint="-0.499984740745262"/>
      <name val="Calibri"/>
      <family val="2"/>
      <scheme val="minor"/>
    </font>
    <font>
      <b/>
      <sz val="14"/>
      <color theme="9" tint="-0.499984740745262"/>
      <name val="Times New Roman"/>
      <family val="1"/>
    </font>
    <font>
      <b/>
      <sz val="18"/>
      <color rgb="FF7030A0"/>
      <name val="Calibri"/>
      <family val="2"/>
      <scheme val="minor"/>
    </font>
    <font>
      <b/>
      <sz val="18"/>
      <color rgb="FFFF0000"/>
      <name val="Calibri"/>
      <family val="2"/>
      <scheme val="minor"/>
    </font>
    <font>
      <b/>
      <sz val="16"/>
      <color theme="9" tint="-0.499984740745262"/>
      <name val="Times New Roman"/>
      <family val="1"/>
    </font>
    <font>
      <b/>
      <sz val="14"/>
      <color theme="9" tint="-0.499984740745262"/>
      <name val="Calibri"/>
      <family val="2"/>
      <scheme val="minor"/>
    </font>
    <font>
      <u/>
      <sz val="18"/>
      <color indexed="12"/>
      <name val="Arial"/>
      <family val="2"/>
    </font>
    <font>
      <sz val="14"/>
      <color theme="6" tint="-0.499984740745262"/>
      <name val="Calibri"/>
      <family val="2"/>
      <scheme val="minor"/>
    </font>
    <font>
      <b/>
      <sz val="18"/>
      <color theme="9" tint="-0.249977111117893"/>
      <name val="Calibri"/>
      <family val="2"/>
      <scheme val="minor"/>
    </font>
    <font>
      <b/>
      <sz val="24"/>
      <color theme="5" tint="-0.249977111117893"/>
      <name val="Arial"/>
      <family val="2"/>
    </font>
    <font>
      <b/>
      <u/>
      <sz val="20"/>
      <color rgb="FF7030A0"/>
      <name val="Arial"/>
      <family val="2"/>
    </font>
    <font>
      <b/>
      <sz val="16"/>
      <color theme="9" tint="0.59999389629810485"/>
      <name val="Calibri"/>
      <family val="2"/>
      <scheme val="minor"/>
    </font>
  </fonts>
  <fills count="12">
    <fill>
      <patternFill patternType="none"/>
    </fill>
    <fill>
      <patternFill patternType="gray125"/>
    </fill>
    <fill>
      <patternFill patternType="solid">
        <fgColor theme="5"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C000"/>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13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indexed="64"/>
      </bottom>
      <diagonal/>
    </border>
    <border>
      <left style="thin">
        <color indexed="64"/>
      </left>
      <right/>
      <top style="thin">
        <color theme="0" tint="-0.14996795556505021"/>
      </top>
      <bottom style="thin">
        <color indexed="64"/>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top style="thin">
        <color indexed="64"/>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indexed="64"/>
      </right>
      <top style="thin">
        <color indexed="64"/>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5" tint="0.59996337778862885"/>
      </right>
      <top style="thin">
        <color theme="5" tint="0.59996337778862885"/>
      </top>
      <bottom style="thin">
        <color indexed="64"/>
      </bottom>
      <diagonal/>
    </border>
    <border>
      <left style="thin">
        <color theme="5" tint="0.59996337778862885"/>
      </left>
      <right style="thin">
        <color theme="5" tint="0.59996337778862885"/>
      </right>
      <top style="thin">
        <color theme="5" tint="0.59996337778862885"/>
      </top>
      <bottom style="thin">
        <color indexed="64"/>
      </bottom>
      <diagonal/>
    </border>
    <border>
      <left style="thin">
        <color theme="5" tint="0.59996337778862885"/>
      </left>
      <right style="thin">
        <color indexed="64"/>
      </right>
      <top style="thin">
        <color theme="5" tint="0.59996337778862885"/>
      </top>
      <bottom style="thin">
        <color indexed="64"/>
      </bottom>
      <diagonal/>
    </border>
    <border>
      <left style="thin">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indexed="64"/>
      </right>
      <top style="thin">
        <color theme="5" tint="0.59996337778862885"/>
      </top>
      <bottom style="thin">
        <color theme="5" tint="0.59996337778862885"/>
      </bottom>
      <diagonal/>
    </border>
    <border>
      <left style="thin">
        <color theme="0" tint="-0.14990691854609822"/>
      </left>
      <right/>
      <top style="thin">
        <color theme="0" tint="-0.14993743705557422"/>
      </top>
      <bottom style="thin">
        <color theme="0" tint="-0.14990691854609822"/>
      </bottom>
      <diagonal/>
    </border>
    <border>
      <left style="thin">
        <color theme="0" tint="-0.14990691854609822"/>
      </left>
      <right/>
      <top style="thin">
        <color theme="0" tint="-0.14990691854609822"/>
      </top>
      <bottom style="thin">
        <color theme="0" tint="-0.14990691854609822"/>
      </bottom>
      <diagonal/>
    </border>
    <border>
      <left style="thin">
        <color theme="0" tint="-0.14990691854609822"/>
      </left>
      <right/>
      <top style="thin">
        <color theme="0" tint="-0.14990691854609822"/>
      </top>
      <bottom style="thin">
        <color indexed="64"/>
      </bottom>
      <diagonal/>
    </border>
    <border>
      <left style="thin">
        <color theme="0" tint="-0.14990691854609822"/>
      </left>
      <right style="thin">
        <color indexed="64"/>
      </right>
      <top style="thin">
        <color theme="0" tint="-0.14993743705557422"/>
      </top>
      <bottom style="thin">
        <color theme="0" tint="-0.14990691854609822"/>
      </bottom>
      <diagonal/>
    </border>
    <border>
      <left style="thin">
        <color theme="0" tint="-0.14990691854609822"/>
      </left>
      <right style="thin">
        <color indexed="64"/>
      </right>
      <top style="thin">
        <color theme="0" tint="-0.14990691854609822"/>
      </top>
      <bottom style="thin">
        <color theme="0" tint="-0.14990691854609822"/>
      </bottom>
      <diagonal/>
    </border>
    <border>
      <left style="thin">
        <color theme="0" tint="-0.14990691854609822"/>
      </left>
      <right style="thin">
        <color indexed="64"/>
      </right>
      <top style="thin">
        <color theme="0" tint="-0.14990691854609822"/>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style="thin">
        <color indexed="64"/>
      </left>
      <right style="thin">
        <color theme="0" tint="-0.14996795556505021"/>
      </right>
      <top/>
      <bottom style="thin">
        <color indexed="64"/>
      </bottom>
      <diagonal/>
    </border>
    <border>
      <left/>
      <right style="thin">
        <color theme="0" tint="-0.14993743705557422"/>
      </right>
      <top style="thin">
        <color indexed="64"/>
      </top>
      <bottom style="thin">
        <color theme="0" tint="-0.14996795556505021"/>
      </bottom>
      <diagonal/>
    </border>
    <border>
      <left style="thin">
        <color theme="0" tint="-0.14993743705557422"/>
      </left>
      <right style="thin">
        <color theme="0" tint="-0.14993743705557422"/>
      </right>
      <top style="thin">
        <color indexed="64"/>
      </top>
      <bottom style="thin">
        <color theme="0" tint="-0.14996795556505021"/>
      </bottom>
      <diagonal/>
    </border>
    <border>
      <left style="thin">
        <color theme="0" tint="-0.14993743705557422"/>
      </left>
      <right style="thin">
        <color indexed="64"/>
      </right>
      <top style="thin">
        <color indexed="64"/>
      </top>
      <bottom style="thin">
        <color theme="0" tint="-0.14996795556505021"/>
      </bottom>
      <diagonal/>
    </border>
    <border>
      <left/>
      <right style="thin">
        <color theme="0" tint="-0.14993743705557422"/>
      </right>
      <top style="thin">
        <color theme="0" tint="-0.14996795556505021"/>
      </top>
      <bottom style="thin">
        <color indexed="64"/>
      </bottom>
      <diagonal/>
    </border>
    <border>
      <left style="thin">
        <color theme="0" tint="-0.14993743705557422"/>
      </left>
      <right style="thin">
        <color theme="0" tint="-0.14993743705557422"/>
      </right>
      <top style="thin">
        <color theme="0" tint="-0.14996795556505021"/>
      </top>
      <bottom style="thin">
        <color indexed="64"/>
      </bottom>
      <diagonal/>
    </border>
    <border>
      <left style="thin">
        <color theme="0" tint="-0.14993743705557422"/>
      </left>
      <right style="thin">
        <color indexed="64"/>
      </right>
      <top style="thin">
        <color theme="0" tint="-0.1499679555650502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slantDashDot">
        <color theme="5"/>
      </left>
      <right/>
      <top style="slantDashDot">
        <color theme="5"/>
      </top>
      <bottom/>
      <diagonal/>
    </border>
    <border>
      <left/>
      <right style="slantDashDot">
        <color theme="5"/>
      </right>
      <top style="slantDashDot">
        <color theme="5"/>
      </top>
      <bottom/>
      <diagonal/>
    </border>
    <border>
      <left style="slantDashDot">
        <color theme="5"/>
      </left>
      <right/>
      <top/>
      <bottom/>
      <diagonal/>
    </border>
    <border>
      <left/>
      <right style="slantDashDot">
        <color theme="5"/>
      </right>
      <top/>
      <bottom/>
      <diagonal/>
    </border>
    <border>
      <left style="slantDashDot">
        <color theme="5"/>
      </left>
      <right/>
      <top/>
      <bottom style="slantDashDot">
        <color theme="5"/>
      </bottom>
      <diagonal/>
    </border>
    <border>
      <left/>
      <right/>
      <top/>
      <bottom style="slantDashDot">
        <color theme="5"/>
      </bottom>
      <diagonal/>
    </border>
    <border>
      <left/>
      <right style="slantDashDot">
        <color theme="5"/>
      </right>
      <top/>
      <bottom style="slantDashDot">
        <color theme="5"/>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medium">
        <color indexed="64"/>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mediumDashDot">
        <color theme="5"/>
      </left>
      <right/>
      <top style="mediumDashDot">
        <color theme="5"/>
      </top>
      <bottom/>
      <diagonal/>
    </border>
    <border>
      <left/>
      <right/>
      <top style="mediumDashDot">
        <color theme="5"/>
      </top>
      <bottom/>
      <diagonal/>
    </border>
    <border>
      <left/>
      <right style="mediumDashDot">
        <color theme="5"/>
      </right>
      <top style="mediumDashDot">
        <color theme="5"/>
      </top>
      <bottom/>
      <diagonal/>
    </border>
    <border>
      <left style="mediumDashDot">
        <color theme="5"/>
      </left>
      <right/>
      <top/>
      <bottom/>
      <diagonal/>
    </border>
    <border>
      <left/>
      <right style="mediumDashDot">
        <color theme="5"/>
      </right>
      <top/>
      <bottom/>
      <diagonal/>
    </border>
    <border>
      <left style="mediumDashDot">
        <color theme="5"/>
      </left>
      <right/>
      <top/>
      <bottom style="mediumDashDot">
        <color theme="5"/>
      </bottom>
      <diagonal/>
    </border>
    <border>
      <left/>
      <right/>
      <top/>
      <bottom style="mediumDashDot">
        <color theme="5"/>
      </bottom>
      <diagonal/>
    </border>
    <border>
      <left/>
      <right style="mediumDashDot">
        <color theme="5"/>
      </right>
      <top/>
      <bottom style="mediumDashDot">
        <color theme="5"/>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14996795556505021"/>
      </left>
      <right/>
      <top style="thin">
        <color theme="0" tint="-0.14996795556505021"/>
      </top>
      <bottom style="thin">
        <color theme="0" tint="-0.14993743705557422"/>
      </bottom>
      <diagonal/>
    </border>
    <border>
      <left/>
      <right style="thin">
        <color indexed="64"/>
      </right>
      <top style="thin">
        <color theme="0" tint="-0.14996795556505021"/>
      </top>
      <bottom style="thin">
        <color theme="0" tint="-0.14993743705557422"/>
      </bottom>
      <diagonal/>
    </border>
    <border>
      <left style="thin">
        <color theme="0" tint="-0.14993743705557422"/>
      </left>
      <right style="thin">
        <color indexed="64"/>
      </right>
      <top style="thin">
        <color theme="0" tint="-0.14996795556505021"/>
      </top>
      <bottom style="thin">
        <color theme="0" tint="-0.14993743705557422"/>
      </bottom>
      <diagonal/>
    </border>
    <border>
      <left/>
      <right style="thin">
        <color theme="0" tint="-0.14993743705557422"/>
      </right>
      <top style="thin">
        <color theme="0" tint="-0.14996795556505021"/>
      </top>
      <bottom/>
      <diagonal/>
    </border>
    <border>
      <left style="thin">
        <color indexed="64"/>
      </left>
      <right style="thin">
        <color theme="0" tint="-0.14996795556505021"/>
      </right>
      <top style="thin">
        <color theme="0" tint="-0.14996795556505021"/>
      </top>
      <bottom/>
      <diagonal/>
    </border>
    <border>
      <left style="thin">
        <color indexed="64"/>
      </left>
      <right/>
      <top style="thin">
        <color theme="0" tint="-0.14996795556505021"/>
      </top>
      <bottom/>
      <diagonal/>
    </border>
    <border>
      <left style="thin">
        <color indexed="64"/>
      </left>
      <right style="thin">
        <color theme="5" tint="0.39994506668294322"/>
      </right>
      <top style="thin">
        <color indexed="64"/>
      </top>
      <bottom style="thin">
        <color theme="5" tint="0.39994506668294322"/>
      </bottom>
      <diagonal/>
    </border>
    <border>
      <left style="thin">
        <color indexed="64"/>
      </left>
      <right style="thin">
        <color theme="5" tint="0.39994506668294322"/>
      </right>
      <top style="thin">
        <color theme="5" tint="0.39994506668294322"/>
      </top>
      <bottom style="thin">
        <color theme="5" tint="0.39994506668294322"/>
      </bottom>
      <diagonal/>
    </border>
    <border>
      <left/>
      <right/>
      <top style="thin">
        <color indexed="64"/>
      </top>
      <bottom style="thin">
        <color theme="0" tint="-0.14996795556505021"/>
      </bottom>
      <diagonal/>
    </border>
    <border>
      <left/>
      <right style="thin">
        <color indexed="64"/>
      </right>
      <top style="thin">
        <color indexed="64"/>
      </top>
      <bottom style="thin">
        <color theme="0" tint="-0.14996795556505021"/>
      </bottom>
      <diagonal/>
    </border>
    <border>
      <left style="thin">
        <color indexed="64"/>
      </left>
      <right style="thin">
        <color theme="5" tint="0.59996337778862885"/>
      </right>
      <top style="thin">
        <color indexed="64"/>
      </top>
      <bottom style="thin">
        <color theme="5" tint="0.59996337778862885"/>
      </bottom>
      <diagonal/>
    </border>
    <border>
      <left style="thin">
        <color theme="5" tint="0.59996337778862885"/>
      </left>
      <right style="thin">
        <color theme="5" tint="0.59996337778862885"/>
      </right>
      <top style="thin">
        <color indexed="64"/>
      </top>
      <bottom style="thin">
        <color theme="5" tint="0.59996337778862885"/>
      </bottom>
      <diagonal/>
    </border>
    <border>
      <left style="thin">
        <color theme="5" tint="0.59996337778862885"/>
      </left>
      <right style="thin">
        <color indexed="64"/>
      </right>
      <top style="thin">
        <color indexed="64"/>
      </top>
      <bottom style="thin">
        <color theme="5" tint="0.59996337778862885"/>
      </bottom>
      <diagonal/>
    </border>
    <border>
      <left style="thin">
        <color indexed="64"/>
      </left>
      <right/>
      <top style="thin">
        <color indexed="64"/>
      </top>
      <bottom style="thin">
        <color theme="5" tint="0.59996337778862885"/>
      </bottom>
      <diagonal/>
    </border>
    <border>
      <left/>
      <right/>
      <top style="thin">
        <color indexed="64"/>
      </top>
      <bottom style="thin">
        <color theme="5" tint="0.59996337778862885"/>
      </bottom>
      <diagonal/>
    </border>
    <border>
      <left/>
      <right style="thin">
        <color indexed="64"/>
      </right>
      <top style="thin">
        <color indexed="64"/>
      </top>
      <bottom style="thin">
        <color theme="5" tint="0.59996337778862885"/>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slantDashDot">
        <color theme="5"/>
      </top>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diagonal/>
    </border>
    <border>
      <left style="thin">
        <color indexed="64"/>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style="thin">
        <color theme="0" tint="-0.24994659260841701"/>
      </left>
      <right/>
      <top/>
      <bottom/>
      <diagonal/>
    </border>
    <border>
      <left style="thin">
        <color theme="0" tint="-0.24994659260841701"/>
      </left>
      <right/>
      <top/>
      <bottom style="thin">
        <color theme="0" tint="-0.24994659260841701"/>
      </bottom>
      <diagonal/>
    </border>
    <border>
      <left/>
      <right style="thin">
        <color indexed="64"/>
      </right>
      <top style="thin">
        <color theme="0" tint="-0.24994659260841701"/>
      </top>
      <bottom/>
      <diagonal/>
    </border>
    <border>
      <left style="thin">
        <color theme="0" tint="-0.24994659260841701"/>
      </left>
      <right/>
      <top/>
      <bottom style="thin">
        <color indexed="64"/>
      </bottom>
      <diagonal/>
    </border>
    <border>
      <left/>
      <right style="thin">
        <color theme="0" tint="-0.24994659260841701"/>
      </right>
      <top/>
      <bottom style="thin">
        <color indexed="64"/>
      </bottom>
      <diagonal/>
    </border>
    <border>
      <left/>
      <right style="thin">
        <color indexed="64"/>
      </right>
      <top/>
      <bottom style="thin">
        <color theme="0" tint="-0.24994659260841701"/>
      </bottom>
      <diagonal/>
    </border>
    <border>
      <left style="thin">
        <color indexed="64"/>
      </left>
      <right/>
      <top style="thin">
        <color indexed="64"/>
      </top>
      <bottom style="thin">
        <color theme="0" tint="-0.24994659260841701"/>
      </bottom>
      <diagonal/>
    </border>
    <border>
      <left style="thin">
        <color theme="0" tint="-0.24994659260841701"/>
      </left>
      <right style="thin">
        <color theme="0" tint="-0.24994659260841701"/>
      </right>
      <top/>
      <bottom style="thin">
        <color indexed="64"/>
      </bottom>
      <diagonal/>
    </border>
    <border>
      <left/>
      <right style="thin">
        <color theme="0" tint="-0.24994659260841701"/>
      </right>
      <top style="thin">
        <color indexed="64"/>
      </top>
      <bottom/>
      <diagonal/>
    </border>
    <border>
      <left style="thin">
        <color theme="0" tint="-0.24994659260841701"/>
      </left>
      <right/>
      <top style="thin">
        <color indexed="64"/>
      </top>
      <bottom/>
      <diagonal/>
    </border>
    <border>
      <left style="thin">
        <color theme="5" tint="0.39994506668294322"/>
      </left>
      <right style="thin">
        <color theme="1"/>
      </right>
      <top style="thin">
        <color indexed="64"/>
      </top>
      <bottom style="thin">
        <color theme="0" tint="-0.24994659260841701"/>
      </bottom>
      <diagonal/>
    </border>
    <border>
      <left style="thin">
        <color theme="5" tint="0.39994506668294322"/>
      </left>
      <right style="thin">
        <color theme="1"/>
      </right>
      <top style="thin">
        <color theme="0" tint="-0.24994659260841701"/>
      </top>
      <bottom style="thin">
        <color theme="0" tint="-0.24994659260841701"/>
      </bottom>
      <diagonal/>
    </border>
    <border>
      <left style="thin">
        <color theme="5" tint="0.39994506668294322"/>
      </left>
      <right style="thin">
        <color theme="1"/>
      </right>
      <top style="thin">
        <color theme="0" tint="-0.24994659260841701"/>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9" fontId="37" fillId="0" borderId="0" applyFont="0" applyFill="0" applyBorder="0" applyAlignment="0" applyProtection="0"/>
  </cellStyleXfs>
  <cellXfs count="612">
    <xf numFmtId="0" fontId="0" fillId="0" borderId="0" xfId="0"/>
    <xf numFmtId="0" fontId="38" fillId="0" borderId="0" xfId="0" applyFont="1" applyAlignment="1">
      <alignment horizontal="center" vertical="center" wrapText="1"/>
    </xf>
    <xf numFmtId="0" fontId="38" fillId="0" borderId="0" xfId="0" applyFont="1" applyAlignment="1">
      <alignment horizontal="left" vertical="center" wrapText="1"/>
    </xf>
    <xf numFmtId="0" fontId="38" fillId="0" borderId="0" xfId="0" applyFont="1" applyAlignment="1">
      <alignment wrapText="1"/>
    </xf>
    <xf numFmtId="0" fontId="38" fillId="0" borderId="0" xfId="0" applyFont="1" applyAlignment="1">
      <alignment horizontal="left" wrapText="1"/>
    </xf>
    <xf numFmtId="0" fontId="39" fillId="2" borderId="1" xfId="0" applyFont="1" applyFill="1" applyBorder="1" applyAlignment="1">
      <alignment horizontal="center" vertical="center" wrapText="1"/>
    </xf>
    <xf numFmtId="0" fontId="39" fillId="2" borderId="2" xfId="0"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4" xfId="0" applyFont="1" applyFill="1" applyBorder="1" applyAlignment="1">
      <alignment horizontal="center" vertical="center" wrapText="1"/>
    </xf>
    <xf numFmtId="0" fontId="40" fillId="0" borderId="17" xfId="0" applyFont="1" applyFill="1" applyBorder="1" applyAlignment="1" applyProtection="1">
      <alignment horizontal="center" vertical="center" wrapText="1"/>
      <protection locked="0"/>
    </xf>
    <xf numFmtId="0" fontId="40" fillId="0" borderId="18" xfId="0" applyFont="1" applyFill="1" applyBorder="1" applyAlignment="1" applyProtection="1">
      <alignment horizontal="center" vertical="center" wrapText="1"/>
      <protection locked="0"/>
    </xf>
    <xf numFmtId="0" fontId="40" fillId="0" borderId="19" xfId="0" applyFont="1" applyFill="1" applyBorder="1" applyAlignment="1" applyProtection="1">
      <alignment horizontal="center" wrapText="1"/>
      <protection locked="0"/>
    </xf>
    <xf numFmtId="0" fontId="40" fillId="0" borderId="20" xfId="0" applyFont="1" applyFill="1" applyBorder="1" applyAlignment="1" applyProtection="1">
      <alignment horizontal="center" wrapText="1"/>
      <protection locked="0"/>
    </xf>
    <xf numFmtId="0" fontId="40" fillId="0" borderId="21" xfId="0" applyFont="1" applyFill="1" applyBorder="1" applyAlignment="1" applyProtection="1">
      <alignment horizontal="center" wrapText="1"/>
      <protection locked="0"/>
    </xf>
    <xf numFmtId="0" fontId="39" fillId="3" borderId="5" xfId="0" applyFont="1" applyFill="1" applyBorder="1" applyAlignment="1">
      <alignment horizontal="left" vertical="center" wrapText="1"/>
    </xf>
    <xf numFmtId="0" fontId="39" fillId="3" borderId="6" xfId="0" applyFont="1" applyFill="1" applyBorder="1" applyAlignment="1">
      <alignment horizontal="left" wrapText="1"/>
    </xf>
    <xf numFmtId="0" fontId="39" fillId="3" borderId="7" xfId="0" applyFont="1" applyFill="1" applyBorder="1" applyAlignment="1">
      <alignment horizontal="left" wrapText="1"/>
    </xf>
    <xf numFmtId="0" fontId="40" fillId="0" borderId="22" xfId="0" applyFont="1" applyFill="1" applyBorder="1" applyAlignment="1" applyProtection="1">
      <alignment horizontal="left" vertical="center" wrapText="1"/>
      <protection locked="0"/>
    </xf>
    <xf numFmtId="0" fontId="40" fillId="0" borderId="23" xfId="0" applyFont="1" applyFill="1" applyBorder="1" applyAlignment="1" applyProtection="1">
      <alignment horizontal="left" wrapText="1"/>
      <protection locked="0"/>
    </xf>
    <xf numFmtId="0" fontId="40" fillId="0" borderId="24" xfId="0" applyFont="1" applyFill="1" applyBorder="1" applyAlignment="1" applyProtection="1">
      <alignment horizontal="left" wrapText="1"/>
      <protection locked="0"/>
    </xf>
    <xf numFmtId="14" fontId="40" fillId="0" borderId="24" xfId="0" applyNumberFormat="1" applyFont="1" applyFill="1" applyBorder="1" applyAlignment="1" applyProtection="1">
      <alignment horizontal="left" wrapText="1"/>
      <protection locked="0"/>
    </xf>
    <xf numFmtId="0" fontId="40" fillId="0" borderId="25" xfId="0" applyFont="1" applyFill="1" applyBorder="1" applyAlignment="1" applyProtection="1">
      <alignment horizontal="left" wrapText="1"/>
      <protection locked="0"/>
    </xf>
    <xf numFmtId="0" fontId="40" fillId="0" borderId="26" xfId="0" applyFont="1" applyFill="1" applyBorder="1" applyAlignment="1" applyProtection="1">
      <alignment horizontal="left" wrapText="1"/>
      <protection locked="0"/>
    </xf>
    <xf numFmtId="0" fontId="38" fillId="0" borderId="8" xfId="0" applyFont="1" applyFill="1" applyBorder="1" applyAlignment="1">
      <alignment horizontal="left" wrapText="1"/>
    </xf>
    <xf numFmtId="0" fontId="40" fillId="0" borderId="27" xfId="0" applyFont="1" applyFill="1" applyBorder="1" applyAlignment="1" applyProtection="1">
      <alignment horizontal="center" wrapText="1"/>
      <protection locked="0"/>
    </xf>
    <xf numFmtId="0" fontId="40" fillId="0" borderId="28" xfId="0" applyFont="1" applyFill="1" applyBorder="1" applyAlignment="1" applyProtection="1">
      <alignment horizontal="center" wrapText="1"/>
      <protection locked="0"/>
    </xf>
    <xf numFmtId="0" fontId="40" fillId="0" borderId="29" xfId="0" applyFont="1" applyFill="1" applyBorder="1" applyAlignment="1" applyProtection="1">
      <alignment horizontal="center" vertical="center" wrapText="1"/>
      <protection locked="0"/>
    </xf>
    <xf numFmtId="0" fontId="40" fillId="0" borderId="30" xfId="0" applyFont="1" applyFill="1" applyBorder="1" applyAlignment="1" applyProtection="1">
      <alignment horizontal="center" wrapText="1"/>
      <protection locked="0"/>
    </xf>
    <xf numFmtId="0" fontId="40" fillId="0" borderId="31" xfId="0" applyFont="1" applyFill="1" applyBorder="1" applyAlignment="1" applyProtection="1">
      <alignment horizontal="center" wrapText="1"/>
      <protection locked="0"/>
    </xf>
    <xf numFmtId="0" fontId="40" fillId="0" borderId="32" xfId="0" applyFont="1" applyFill="1" applyBorder="1" applyAlignment="1" applyProtection="1">
      <alignment horizontal="center" wrapText="1"/>
      <protection locked="0"/>
    </xf>
    <xf numFmtId="0" fontId="39" fillId="3" borderId="7" xfId="0" applyFont="1" applyFill="1" applyBorder="1" applyAlignment="1">
      <alignment wrapText="1"/>
    </xf>
    <xf numFmtId="0" fontId="40" fillId="0" borderId="18" xfId="0" applyFont="1" applyFill="1" applyBorder="1" applyAlignment="1" applyProtection="1">
      <alignment horizontal="left" vertical="center" wrapText="1"/>
      <protection locked="0"/>
    </xf>
    <xf numFmtId="0" fontId="40" fillId="0" borderId="33" xfId="0" applyFont="1" applyFill="1" applyBorder="1" applyAlignment="1" applyProtection="1">
      <alignment horizontal="left" vertical="center" wrapText="1"/>
      <protection locked="0"/>
    </xf>
    <xf numFmtId="0" fontId="40" fillId="0" borderId="20" xfId="0" applyFont="1" applyFill="1" applyBorder="1" applyAlignment="1" applyProtection="1">
      <alignment horizontal="left" wrapText="1"/>
      <protection locked="0"/>
    </xf>
    <xf numFmtId="0" fontId="40" fillId="0" borderId="34" xfId="0" applyFont="1" applyFill="1" applyBorder="1" applyAlignment="1" applyProtection="1">
      <alignment horizontal="left" wrapText="1"/>
      <protection locked="0"/>
    </xf>
    <xf numFmtId="0" fontId="40" fillId="0" borderId="28" xfId="0" applyFont="1" applyFill="1" applyBorder="1" applyAlignment="1" applyProtection="1">
      <alignment wrapText="1"/>
      <protection locked="0"/>
    </xf>
    <xf numFmtId="0" fontId="40" fillId="0" borderId="35" xfId="0" applyFont="1" applyFill="1" applyBorder="1" applyAlignment="1" applyProtection="1">
      <alignment wrapText="1"/>
      <protection locked="0"/>
    </xf>
    <xf numFmtId="0" fontId="40" fillId="0" borderId="29" xfId="0" applyFont="1" applyFill="1" applyBorder="1" applyAlignment="1" applyProtection="1">
      <alignment horizontal="left" vertical="center" wrapText="1"/>
      <protection locked="0"/>
    </xf>
    <xf numFmtId="0" fontId="40" fillId="0" borderId="30" xfId="0" applyFont="1" applyFill="1" applyBorder="1" applyAlignment="1" applyProtection="1">
      <alignment horizontal="left" wrapText="1"/>
      <protection locked="0"/>
    </xf>
    <xf numFmtId="0" fontId="40" fillId="0" borderId="32" xfId="0" applyFont="1" applyFill="1" applyBorder="1" applyAlignment="1" applyProtection="1">
      <alignment wrapText="1"/>
      <protection locked="0"/>
    </xf>
    <xf numFmtId="0" fontId="42" fillId="3" borderId="5" xfId="0" applyFont="1" applyFill="1" applyBorder="1" applyAlignment="1">
      <alignment horizontal="left" vertical="center"/>
    </xf>
    <xf numFmtId="0" fontId="42" fillId="3" borderId="6" xfId="0" applyFont="1" applyFill="1" applyBorder="1" applyAlignment="1">
      <alignment horizontal="left" vertical="center"/>
    </xf>
    <xf numFmtId="0" fontId="42" fillId="3" borderId="7" xfId="0" applyFont="1" applyFill="1" applyBorder="1" applyAlignment="1">
      <alignment horizontal="left" vertical="center"/>
    </xf>
    <xf numFmtId="0" fontId="3" fillId="0" borderId="0" xfId="0" applyFont="1" applyFill="1" applyBorder="1" applyProtection="1">
      <protection hidden="1"/>
    </xf>
    <xf numFmtId="0" fontId="43" fillId="0" borderId="0" xfId="1"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6" fillId="2" borderId="1"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3"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hidden="1"/>
    </xf>
    <xf numFmtId="0" fontId="40" fillId="0" borderId="36" xfId="0" applyFont="1" applyFill="1" applyBorder="1" applyAlignment="1" applyProtection="1">
      <alignment horizontal="left" vertical="center" wrapText="1"/>
      <protection locked="0"/>
    </xf>
    <xf numFmtId="0" fontId="44" fillId="3" borderId="8" xfId="0" applyFont="1" applyFill="1" applyBorder="1" applyAlignment="1">
      <alignment horizontal="left" vertical="center" wrapText="1"/>
    </xf>
    <xf numFmtId="0" fontId="44" fillId="3" borderId="0" xfId="0" applyFont="1" applyFill="1" applyBorder="1" applyAlignment="1">
      <alignment horizontal="left" wrapText="1"/>
    </xf>
    <xf numFmtId="0" fontId="44" fillId="3" borderId="2" xfId="0" applyFont="1" applyFill="1" applyBorder="1" applyAlignment="1">
      <alignment horizontal="left" wrapText="1"/>
    </xf>
    <xf numFmtId="0" fontId="45" fillId="0" borderId="43" xfId="0" applyFont="1" applyBorder="1" applyAlignment="1" applyProtection="1">
      <alignment horizontal="left" wrapText="1"/>
      <protection locked="0"/>
    </xf>
    <xf numFmtId="0" fontId="45" fillId="0" borderId="44" xfId="0" applyFont="1" applyBorder="1" applyAlignment="1" applyProtection="1">
      <alignment horizontal="left" wrapText="1"/>
      <protection locked="0"/>
    </xf>
    <xf numFmtId="0" fontId="45" fillId="0" borderId="45" xfId="0" applyFont="1" applyBorder="1" applyAlignment="1" applyProtection="1">
      <alignment horizontal="left" wrapText="1"/>
      <protection locked="0"/>
    </xf>
    <xf numFmtId="0" fontId="45" fillId="0" borderId="46" xfId="0" applyFont="1" applyBorder="1" applyAlignment="1" applyProtection="1">
      <alignment horizontal="left" wrapText="1"/>
      <protection locked="0"/>
    </xf>
    <xf numFmtId="0" fontId="45" fillId="0" borderId="47" xfId="0" applyFont="1" applyBorder="1" applyAlignment="1" applyProtection="1">
      <alignment horizontal="left" wrapText="1"/>
      <protection locked="0"/>
    </xf>
    <xf numFmtId="0" fontId="45" fillId="0" borderId="48" xfId="0" applyFont="1" applyBorder="1" applyAlignment="1" applyProtection="1">
      <alignment horizontal="left" wrapText="1"/>
      <protection locked="0"/>
    </xf>
    <xf numFmtId="0" fontId="3" fillId="0" borderId="36" xfId="0" applyFont="1" applyFill="1" applyBorder="1" applyAlignment="1" applyProtection="1">
      <alignment horizontal="left" vertical="center"/>
      <protection hidden="1"/>
    </xf>
    <xf numFmtId="0" fontId="3" fillId="0" borderId="24" xfId="0" applyFont="1" applyFill="1" applyBorder="1" applyAlignment="1" applyProtection="1">
      <alignment horizontal="left" vertical="center"/>
      <protection hidden="1"/>
    </xf>
    <xf numFmtId="0" fontId="3" fillId="0" borderId="25" xfId="0" applyFont="1" applyFill="1" applyBorder="1" applyAlignment="1" applyProtection="1">
      <alignment horizontal="left" vertical="center"/>
      <protection hidden="1"/>
    </xf>
    <xf numFmtId="0" fontId="3" fillId="0" borderId="0" xfId="0" applyFont="1" applyFill="1" applyBorder="1" applyAlignment="1" applyProtection="1">
      <alignment vertical="center"/>
      <protection hidden="1"/>
    </xf>
    <xf numFmtId="0" fontId="1" fillId="0" borderId="0" xfId="1" applyFill="1" applyBorder="1" applyAlignment="1" applyProtection="1">
      <alignment horizontal="center" vertical="center"/>
      <protection hidden="1"/>
    </xf>
    <xf numFmtId="0" fontId="1" fillId="6" borderId="0" xfId="1" applyFill="1" applyBorder="1" applyAlignment="1" applyProtection="1">
      <alignment horizontal="center" vertic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center" textRotation="90"/>
      <protection hidden="1"/>
    </xf>
    <xf numFmtId="0" fontId="4" fillId="0" borderId="0" xfId="0" applyFont="1" applyFill="1" applyBorder="1" applyAlignment="1" applyProtection="1">
      <alignment horizontal="center" vertical="center"/>
      <protection hidden="1"/>
    </xf>
    <xf numFmtId="9" fontId="29" fillId="0" borderId="0" xfId="0" applyNumberFormat="1" applyFont="1" applyFill="1" applyBorder="1" applyAlignment="1" applyProtection="1">
      <alignment horizontal="center" vertical="center"/>
      <protection hidden="1"/>
    </xf>
    <xf numFmtId="0" fontId="12" fillId="0" borderId="58" xfId="0" applyFont="1" applyFill="1" applyBorder="1" applyAlignment="1" applyProtection="1">
      <alignment horizontal="center" vertical="center"/>
      <protection locked="0"/>
    </xf>
    <xf numFmtId="0" fontId="12" fillId="3" borderId="58" xfId="0" applyFont="1" applyFill="1" applyBorder="1" applyAlignment="1" applyProtection="1">
      <alignment horizontal="center" vertical="center"/>
      <protection hidden="1"/>
    </xf>
    <xf numFmtId="0" fontId="12" fillId="2" borderId="58" xfId="0" applyFont="1" applyFill="1" applyBorder="1" applyAlignment="1" applyProtection="1">
      <alignment horizontal="center" vertical="center"/>
      <protection hidden="1"/>
    </xf>
    <xf numFmtId="0" fontId="12" fillId="5" borderId="58" xfId="0" applyFont="1" applyFill="1" applyBorder="1" applyAlignment="1" applyProtection="1">
      <alignment horizontal="center" vertical="center"/>
      <protection hidden="1"/>
    </xf>
    <xf numFmtId="0" fontId="0" fillId="0" borderId="0" xfId="0" applyProtection="1"/>
    <xf numFmtId="0" fontId="0" fillId="0" borderId="0" xfId="0" applyFill="1" applyBorder="1" applyProtection="1">
      <protection hidden="1"/>
    </xf>
    <xf numFmtId="0" fontId="2" fillId="2" borderId="58" xfId="0" applyFont="1" applyFill="1" applyBorder="1" applyAlignment="1" applyProtection="1">
      <alignment horizontal="center" vertical="center"/>
      <protection hidden="1"/>
    </xf>
    <xf numFmtId="0" fontId="2" fillId="3" borderId="58" xfId="0" applyFont="1" applyFill="1" applyBorder="1" applyAlignment="1" applyProtection="1">
      <alignment horizontal="center" vertical="center"/>
      <protection hidden="1"/>
    </xf>
    <xf numFmtId="0" fontId="13" fillId="3" borderId="58" xfId="0" applyFont="1" applyFill="1" applyBorder="1" applyAlignment="1" applyProtection="1">
      <alignment horizontal="center" vertical="center"/>
      <protection hidden="1"/>
    </xf>
    <xf numFmtId="0" fontId="6" fillId="0" borderId="58" xfId="0" applyFont="1" applyFill="1" applyBorder="1" applyAlignment="1" applyProtection="1">
      <alignment horizontal="center" vertical="center"/>
    </xf>
    <xf numFmtId="0" fontId="13" fillId="5" borderId="58" xfId="0" applyFont="1" applyFill="1" applyBorder="1" applyAlignment="1" applyProtection="1">
      <alignment horizontal="center" vertical="center"/>
      <protection hidden="1"/>
    </xf>
    <xf numFmtId="0" fontId="10" fillId="0" borderId="0" xfId="0" applyFont="1" applyFill="1" applyBorder="1" applyAlignment="1" applyProtection="1">
      <protection hidden="1"/>
    </xf>
    <xf numFmtId="0" fontId="0" fillId="0" borderId="0" xfId="0" applyFill="1" applyProtection="1"/>
    <xf numFmtId="0" fontId="0" fillId="0" borderId="10" xfId="0" applyFill="1" applyBorder="1" applyProtection="1">
      <protection hidden="1"/>
    </xf>
    <xf numFmtId="0" fontId="0" fillId="0" borderId="8" xfId="0" applyFill="1" applyBorder="1" applyProtection="1">
      <protection hidden="1"/>
    </xf>
    <xf numFmtId="0" fontId="22" fillId="0" borderId="8" xfId="0" applyFont="1" applyFill="1" applyBorder="1" applyAlignment="1" applyProtection="1">
      <protection hidden="1"/>
    </xf>
    <xf numFmtId="0" fontId="0" fillId="0" borderId="11" xfId="0" applyFill="1" applyBorder="1" applyProtection="1">
      <protection hidden="1"/>
    </xf>
    <xf numFmtId="0" fontId="21" fillId="0" borderId="4" xfId="0" applyFont="1" applyFill="1" applyBorder="1" applyProtection="1">
      <protection hidden="1"/>
    </xf>
    <xf numFmtId="0" fontId="0" fillId="0" borderId="9" xfId="0" applyFill="1" applyBorder="1" applyProtection="1">
      <protection hidden="1"/>
    </xf>
    <xf numFmtId="0" fontId="0" fillId="0" borderId="4" xfId="0" applyFill="1" applyBorder="1" applyProtection="1">
      <protection hidden="1"/>
    </xf>
    <xf numFmtId="0" fontId="0" fillId="0" borderId="0" xfId="0" applyBorder="1" applyProtection="1">
      <protection hidden="1"/>
    </xf>
    <xf numFmtId="0" fontId="16" fillId="0" borderId="4" xfId="0" applyFont="1" applyFill="1" applyBorder="1" applyProtection="1">
      <protection hidden="1"/>
    </xf>
    <xf numFmtId="0" fontId="16" fillId="0" borderId="9" xfId="0" applyFont="1" applyFill="1" applyBorder="1" applyProtection="1">
      <protection hidden="1"/>
    </xf>
    <xf numFmtId="0" fontId="0" fillId="0" borderId="1" xfId="0" applyFill="1" applyBorder="1" applyProtection="1">
      <protection hidden="1"/>
    </xf>
    <xf numFmtId="0" fontId="0" fillId="0" borderId="2" xfId="0" applyFill="1" applyBorder="1" applyProtection="1">
      <protection hidden="1"/>
    </xf>
    <xf numFmtId="0" fontId="0" fillId="0" borderId="3" xfId="0" applyFill="1" applyBorder="1" applyProtection="1">
      <protection hidden="1"/>
    </xf>
    <xf numFmtId="0" fontId="21" fillId="0" borderId="59" xfId="0" applyFont="1" applyFill="1" applyBorder="1" applyProtection="1">
      <protection hidden="1"/>
    </xf>
    <xf numFmtId="0" fontId="20" fillId="0" borderId="60" xfId="0" applyFont="1" applyFill="1" applyBorder="1" applyAlignment="1" applyProtection="1">
      <alignment horizontal="center"/>
      <protection hidden="1"/>
    </xf>
    <xf numFmtId="0" fontId="0" fillId="0" borderId="61" xfId="0" applyFill="1" applyBorder="1" applyProtection="1">
      <protection hidden="1"/>
    </xf>
    <xf numFmtId="0" fontId="19" fillId="0" borderId="62" xfId="0" applyFont="1" applyFill="1" applyBorder="1" applyAlignment="1" applyProtection="1">
      <alignment horizontal="center"/>
      <protection hidden="1"/>
    </xf>
    <xf numFmtId="0" fontId="0" fillId="0" borderId="62" xfId="0" applyFill="1" applyBorder="1" applyProtection="1">
      <protection hidden="1"/>
    </xf>
    <xf numFmtId="0" fontId="18" fillId="0" borderId="62" xfId="0" applyFont="1" applyFill="1" applyBorder="1" applyAlignment="1" applyProtection="1">
      <protection hidden="1"/>
    </xf>
    <xf numFmtId="0" fontId="16" fillId="0" borderId="62" xfId="0" applyFont="1" applyFill="1" applyBorder="1" applyProtection="1">
      <protection hidden="1"/>
    </xf>
    <xf numFmtId="0" fontId="16" fillId="0" borderId="61" xfId="0" applyFont="1" applyFill="1" applyBorder="1" applyProtection="1">
      <protection hidden="1"/>
    </xf>
    <xf numFmtId="0" fontId="17" fillId="0" borderId="62" xfId="0" applyFont="1" applyFill="1" applyBorder="1" applyAlignment="1" applyProtection="1">
      <alignment horizontal="center"/>
      <protection hidden="1"/>
    </xf>
    <xf numFmtId="0" fontId="14" fillId="0" borderId="62" xfId="0" applyFont="1" applyFill="1" applyBorder="1" applyAlignment="1" applyProtection="1">
      <alignment horizontal="center" vertical="center"/>
      <protection hidden="1"/>
    </xf>
    <xf numFmtId="0" fontId="6" fillId="0" borderId="62" xfId="0" applyFont="1" applyFill="1" applyBorder="1" applyAlignment="1" applyProtection="1">
      <alignment horizontal="center"/>
      <protection hidden="1"/>
    </xf>
    <xf numFmtId="0" fontId="6" fillId="0" borderId="62" xfId="0" applyFont="1" applyFill="1" applyBorder="1" applyProtection="1">
      <protection hidden="1"/>
    </xf>
    <xf numFmtId="0" fontId="0" fillId="0" borderId="63" xfId="0" applyFill="1" applyBorder="1" applyProtection="1">
      <protection hidden="1"/>
    </xf>
    <xf numFmtId="0" fontId="0" fillId="0" borderId="64" xfId="0" applyFill="1" applyBorder="1" applyProtection="1">
      <protection hidden="1"/>
    </xf>
    <xf numFmtId="0" fontId="0" fillId="0" borderId="65" xfId="0" applyFill="1" applyBorder="1" applyProtection="1">
      <protection hidden="1"/>
    </xf>
    <xf numFmtId="0" fontId="4" fillId="2" borderId="12" xfId="0" applyFont="1" applyFill="1" applyBorder="1" applyAlignment="1" applyProtection="1">
      <alignment horizontal="center" vertical="center"/>
      <protection hidden="1"/>
    </xf>
    <xf numFmtId="0" fontId="3" fillId="3" borderId="66" xfId="0" applyFont="1" applyFill="1" applyBorder="1" applyAlignment="1" applyProtection="1">
      <alignment horizontal="center" textRotation="90" wrapText="1"/>
      <protection hidden="1"/>
    </xf>
    <xf numFmtId="0" fontId="8" fillId="3" borderId="66" xfId="0" applyFont="1" applyFill="1" applyBorder="1" applyAlignment="1" applyProtection="1">
      <alignment horizontal="center" textRotation="90" wrapText="1"/>
      <protection hidden="1"/>
    </xf>
    <xf numFmtId="0" fontId="4" fillId="0" borderId="9" xfId="0" applyFont="1" applyFill="1" applyBorder="1" applyAlignment="1" applyProtection="1">
      <alignment horizontal="center"/>
      <protection hidden="1"/>
    </xf>
    <xf numFmtId="1" fontId="28" fillId="3" borderId="70" xfId="0" applyNumberFormat="1" applyFont="1" applyFill="1" applyBorder="1" applyAlignment="1" applyProtection="1">
      <alignment horizontal="center" vertical="center"/>
      <protection hidden="1"/>
    </xf>
    <xf numFmtId="9" fontId="29" fillId="3" borderId="71" xfId="0" applyNumberFormat="1" applyFont="1" applyFill="1" applyBorder="1" applyAlignment="1" applyProtection="1">
      <alignment horizontal="center" vertical="center"/>
      <protection hidden="1"/>
    </xf>
    <xf numFmtId="1" fontId="28" fillId="3" borderId="58" xfId="0" applyNumberFormat="1" applyFont="1" applyFill="1" applyBorder="1" applyAlignment="1" applyProtection="1">
      <alignment horizontal="center" vertical="center"/>
      <protection hidden="1"/>
    </xf>
    <xf numFmtId="9" fontId="29" fillId="3" borderId="72" xfId="0" applyNumberFormat="1" applyFont="1" applyFill="1" applyBorder="1" applyAlignment="1" applyProtection="1">
      <alignment horizontal="center" vertical="center"/>
      <protection hidden="1"/>
    </xf>
    <xf numFmtId="1" fontId="28" fillId="3" borderId="66" xfId="0" applyNumberFormat="1" applyFont="1" applyFill="1" applyBorder="1" applyAlignment="1" applyProtection="1">
      <alignment horizontal="center" vertical="center"/>
      <protection hidden="1"/>
    </xf>
    <xf numFmtId="9" fontId="29" fillId="3" borderId="73" xfId="0" applyNumberFormat="1" applyFont="1" applyFill="1" applyBorder="1" applyAlignment="1" applyProtection="1">
      <alignment horizontal="center" vertical="center"/>
      <protection hidden="1"/>
    </xf>
    <xf numFmtId="0" fontId="4" fillId="2" borderId="74" xfId="0" applyFont="1" applyFill="1" applyBorder="1" applyAlignment="1" applyProtection="1">
      <alignment horizontal="center" vertical="center"/>
      <protection hidden="1"/>
    </xf>
    <xf numFmtId="0" fontId="4" fillId="2" borderId="75" xfId="0" applyFont="1" applyFill="1" applyBorder="1" applyAlignment="1" applyProtection="1">
      <alignment horizontal="center" vertical="center"/>
      <protection hidden="1"/>
    </xf>
    <xf numFmtId="0" fontId="4" fillId="2" borderId="76" xfId="0" applyFont="1" applyFill="1" applyBorder="1" applyAlignment="1" applyProtection="1">
      <alignment horizontal="center" vertical="center"/>
      <protection hidden="1"/>
    </xf>
    <xf numFmtId="1" fontId="30" fillId="3" borderId="7" xfId="0" applyNumberFormat="1" applyFont="1" applyFill="1" applyBorder="1" applyAlignment="1" applyProtection="1">
      <alignment horizontal="center" vertical="center"/>
      <protection hidden="1"/>
    </xf>
    <xf numFmtId="1" fontId="30" fillId="3" borderId="13" xfId="0" applyNumberFormat="1" applyFont="1" applyFill="1" applyBorder="1" applyAlignment="1" applyProtection="1">
      <alignment horizontal="center" vertical="center"/>
      <protection hidden="1"/>
    </xf>
    <xf numFmtId="0" fontId="4" fillId="2" borderId="77" xfId="0" applyFont="1" applyFill="1" applyBorder="1" applyAlignment="1" applyProtection="1">
      <alignment horizontal="center" vertical="center"/>
      <protection hidden="1"/>
    </xf>
    <xf numFmtId="0" fontId="4" fillId="2" borderId="78" xfId="0" applyFont="1" applyFill="1" applyBorder="1" applyAlignment="1" applyProtection="1">
      <alignment horizontal="center" vertical="center"/>
      <protection hidden="1"/>
    </xf>
    <xf numFmtId="0" fontId="3" fillId="3" borderId="69" xfId="0" applyFont="1" applyFill="1" applyBorder="1" applyAlignment="1" applyProtection="1">
      <alignment horizontal="center" textRotation="90" wrapText="1"/>
      <protection hidden="1"/>
    </xf>
    <xf numFmtId="9" fontId="29" fillId="0" borderId="6" xfId="0" applyNumberFormat="1" applyFont="1" applyFill="1" applyBorder="1" applyAlignment="1" applyProtection="1">
      <alignment horizontal="center" vertical="center"/>
      <protection hidden="1"/>
    </xf>
    <xf numFmtId="0" fontId="15" fillId="2" borderId="9" xfId="0" applyFont="1" applyFill="1" applyBorder="1" applyAlignment="1" applyProtection="1">
      <alignment vertical="center" wrapText="1"/>
      <protection hidden="1"/>
    </xf>
    <xf numFmtId="0" fontId="23" fillId="4" borderId="67" xfId="0" applyFont="1" applyFill="1" applyBorder="1" applyProtection="1">
      <protection hidden="1"/>
    </xf>
    <xf numFmtId="0" fontId="15" fillId="4" borderId="70" xfId="0" applyFont="1" applyFill="1" applyBorder="1" applyProtection="1">
      <protection hidden="1"/>
    </xf>
    <xf numFmtId="0" fontId="9" fillId="4" borderId="71" xfId="0" applyFont="1" applyFill="1" applyBorder="1" applyAlignment="1" applyProtection="1">
      <alignment horizontal="center" vertical="center"/>
      <protection hidden="1"/>
    </xf>
    <xf numFmtId="0" fontId="9" fillId="2" borderId="72" xfId="0" applyFont="1" applyFill="1" applyBorder="1" applyAlignment="1" applyProtection="1">
      <alignment horizontal="center" vertical="center"/>
      <protection hidden="1"/>
    </xf>
    <xf numFmtId="0" fontId="2" fillId="4" borderId="73" xfId="0" applyFont="1" applyFill="1" applyBorder="1" applyAlignment="1" applyProtection="1">
      <alignment horizontal="center" vertical="center" wrapText="1"/>
      <protection hidden="1"/>
    </xf>
    <xf numFmtId="9" fontId="8" fillId="2" borderId="75" xfId="0" applyNumberFormat="1" applyFont="1" applyFill="1" applyBorder="1" applyAlignment="1" applyProtection="1">
      <alignment horizontal="center" vertical="center"/>
      <protection hidden="1"/>
    </xf>
    <xf numFmtId="9" fontId="9" fillId="2" borderId="78" xfId="0" applyNumberFormat="1" applyFont="1" applyFill="1" applyBorder="1" applyAlignment="1" applyProtection="1">
      <alignment horizontal="center" vertical="center"/>
      <protection hidden="1"/>
    </xf>
    <xf numFmtId="1" fontId="28" fillId="2" borderId="67" xfId="0" applyNumberFormat="1" applyFont="1" applyFill="1" applyBorder="1" applyAlignment="1" applyProtection="1">
      <alignment horizontal="center" vertical="center"/>
      <protection hidden="1"/>
    </xf>
    <xf numFmtId="1" fontId="28" fillId="2" borderId="68" xfId="0" applyNumberFormat="1" applyFont="1" applyFill="1" applyBorder="1" applyAlignment="1" applyProtection="1">
      <alignment horizontal="center" vertical="center"/>
      <protection hidden="1"/>
    </xf>
    <xf numFmtId="0" fontId="26" fillId="4" borderId="58" xfId="0" applyNumberFormat="1" applyFont="1" applyFill="1" applyBorder="1" applyAlignment="1" applyProtection="1">
      <alignment horizontal="center" vertical="center"/>
      <protection hidden="1"/>
    </xf>
    <xf numFmtId="1" fontId="28" fillId="2" borderId="69" xfId="0" applyNumberFormat="1" applyFont="1" applyFill="1" applyBorder="1" applyAlignment="1" applyProtection="1">
      <alignment horizontal="center" vertical="center"/>
      <protection hidden="1"/>
    </xf>
    <xf numFmtId="0" fontId="26" fillId="4" borderId="66" xfId="0" applyNumberFormat="1" applyFont="1" applyFill="1" applyBorder="1" applyAlignment="1" applyProtection="1">
      <alignment horizontal="center" vertical="center"/>
      <protection hidden="1"/>
    </xf>
    <xf numFmtId="0" fontId="50" fillId="0" borderId="0" xfId="0" applyFont="1" applyFill="1" applyBorder="1" applyAlignment="1" applyProtection="1">
      <alignment horizontal="center" vertical="center"/>
      <protection hidden="1"/>
    </xf>
    <xf numFmtId="0" fontId="26" fillId="4" borderId="70" xfId="2" applyNumberFormat="1" applyFont="1" applyFill="1" applyBorder="1" applyAlignment="1" applyProtection="1">
      <alignment horizontal="center" vertical="center"/>
      <protection hidden="1"/>
    </xf>
    <xf numFmtId="0" fontId="38" fillId="0" borderId="0" xfId="0" applyFont="1" applyAlignment="1">
      <alignment horizontal="center" wrapText="1"/>
    </xf>
    <xf numFmtId="0" fontId="13" fillId="0" borderId="0" xfId="0" applyFont="1" applyFill="1" applyBorder="1" applyAlignment="1" applyProtection="1">
      <alignment vertical="center"/>
      <protection hidden="1"/>
    </xf>
    <xf numFmtId="0" fontId="39" fillId="3" borderId="5" xfId="0" applyFont="1" applyFill="1" applyBorder="1" applyAlignment="1">
      <alignment horizontal="center" vertical="center" wrapText="1"/>
    </xf>
    <xf numFmtId="0" fontId="39" fillId="3" borderId="6" xfId="0" applyFont="1" applyFill="1" applyBorder="1" applyAlignment="1">
      <alignment horizontal="center" wrapText="1"/>
    </xf>
    <xf numFmtId="0" fontId="39" fillId="3" borderId="6" xfId="0" applyFont="1" applyFill="1" applyBorder="1" applyAlignment="1">
      <alignment horizontal="center" vertical="center" wrapText="1"/>
    </xf>
    <xf numFmtId="0" fontId="39" fillId="3" borderId="7" xfId="0" applyFont="1" applyFill="1" applyBorder="1" applyAlignment="1">
      <alignment horizontal="center" wrapText="1"/>
    </xf>
    <xf numFmtId="0" fontId="38" fillId="0" borderId="14" xfId="0" applyFont="1" applyFill="1" applyBorder="1" applyAlignment="1">
      <alignment horizontal="center" wrapText="1"/>
    </xf>
    <xf numFmtId="0" fontId="39" fillId="3" borderId="7" xfId="0" applyFont="1" applyFill="1" applyBorder="1" applyAlignment="1">
      <alignment horizontal="center" vertical="center" wrapText="1"/>
    </xf>
    <xf numFmtId="0" fontId="39" fillId="3" borderId="13" xfId="0" applyFont="1" applyFill="1" applyBorder="1" applyAlignment="1">
      <alignment horizontal="center" wrapText="1"/>
    </xf>
    <xf numFmtId="0" fontId="40" fillId="0" borderId="51" xfId="0" applyFont="1" applyFill="1" applyBorder="1" applyAlignment="1" applyProtection="1">
      <alignment horizontal="center" wrapText="1"/>
      <protection locked="0"/>
    </xf>
    <xf numFmtId="0" fontId="40" fillId="0" borderId="49" xfId="0" applyFont="1" applyFill="1" applyBorder="1" applyAlignment="1" applyProtection="1">
      <alignment wrapText="1"/>
      <protection locked="0"/>
    </xf>
    <xf numFmtId="0" fontId="38" fillId="7" borderId="15" xfId="0" applyFont="1" applyFill="1" applyBorder="1" applyAlignment="1">
      <alignment wrapText="1"/>
    </xf>
    <xf numFmtId="0" fontId="38" fillId="7" borderId="16" xfId="0" applyFont="1" applyFill="1" applyBorder="1" applyAlignment="1">
      <alignment wrapText="1"/>
    </xf>
    <xf numFmtId="0" fontId="38" fillId="7" borderId="10" xfId="0" applyFont="1" applyFill="1" applyBorder="1" applyAlignment="1">
      <alignment horizontal="center" wrapText="1"/>
    </xf>
    <xf numFmtId="0" fontId="38" fillId="7" borderId="8" xfId="0" applyFont="1" applyFill="1" applyBorder="1" applyAlignment="1">
      <alignment horizontal="left" wrapText="1"/>
    </xf>
    <xf numFmtId="0" fontId="38" fillId="7" borderId="1" xfId="0" applyFont="1" applyFill="1" applyBorder="1" applyAlignment="1">
      <alignment horizontal="center" wrapText="1"/>
    </xf>
    <xf numFmtId="0" fontId="38" fillId="7" borderId="2" xfId="0" applyFont="1" applyFill="1" applyBorder="1" applyAlignment="1">
      <alignment wrapText="1"/>
    </xf>
    <xf numFmtId="0" fontId="40" fillId="7" borderId="51" xfId="0" applyFont="1" applyFill="1" applyBorder="1" applyAlignment="1" applyProtection="1">
      <alignment horizontal="center" wrapText="1"/>
      <protection locked="0"/>
    </xf>
    <xf numFmtId="0" fontId="40" fillId="7" borderId="49" xfId="0" applyFont="1" applyFill="1" applyBorder="1" applyAlignment="1" applyProtection="1">
      <alignment wrapText="1"/>
      <protection locked="0"/>
    </xf>
    <xf numFmtId="0" fontId="40" fillId="7" borderId="49" xfId="0" applyFont="1" applyFill="1" applyBorder="1" applyAlignment="1" applyProtection="1">
      <alignment horizontal="center" wrapText="1"/>
      <protection locked="0"/>
    </xf>
    <xf numFmtId="0" fontId="40" fillId="7" borderId="50" xfId="0" applyFont="1" applyFill="1" applyBorder="1" applyAlignment="1" applyProtection="1">
      <alignment wrapText="1"/>
      <protection locked="0"/>
    </xf>
    <xf numFmtId="0" fontId="40" fillId="7" borderId="27" xfId="0" applyFont="1" applyFill="1" applyBorder="1" applyAlignment="1" applyProtection="1">
      <alignment horizontal="center" wrapText="1"/>
      <protection locked="0"/>
    </xf>
    <xf numFmtId="0" fontId="40" fillId="7" borderId="28" xfId="0" applyFont="1" applyFill="1" applyBorder="1" applyAlignment="1" applyProtection="1">
      <alignment wrapText="1"/>
      <protection locked="0"/>
    </xf>
    <xf numFmtId="0" fontId="40" fillId="7" borderId="28" xfId="0" applyFont="1" applyFill="1" applyBorder="1" applyAlignment="1" applyProtection="1">
      <alignment horizontal="center" wrapText="1"/>
      <protection locked="0"/>
    </xf>
    <xf numFmtId="0" fontId="40" fillId="7" borderId="35" xfId="0" applyFont="1" applyFill="1" applyBorder="1" applyAlignment="1" applyProtection="1">
      <alignment wrapText="1"/>
      <protection locked="0"/>
    </xf>
    <xf numFmtId="0" fontId="40" fillId="7" borderId="87" xfId="0" applyFont="1" applyFill="1" applyBorder="1" applyAlignment="1" applyProtection="1">
      <alignment horizontal="center" wrapText="1"/>
      <protection locked="0"/>
    </xf>
    <xf numFmtId="0" fontId="40" fillId="7" borderId="88" xfId="0" applyFont="1" applyFill="1" applyBorder="1" applyAlignment="1" applyProtection="1">
      <alignment horizontal="left" wrapText="1"/>
      <protection locked="0"/>
    </xf>
    <xf numFmtId="0" fontId="40" fillId="7" borderId="89" xfId="0" applyFont="1" applyFill="1" applyBorder="1" applyAlignment="1" applyProtection="1">
      <alignment horizontal="left" wrapText="1"/>
      <protection locked="0"/>
    </xf>
    <xf numFmtId="0" fontId="38" fillId="7" borderId="14" xfId="0" applyFont="1" applyFill="1" applyBorder="1" applyAlignment="1">
      <alignment wrapText="1"/>
    </xf>
    <xf numFmtId="0" fontId="45" fillId="0" borderId="90" xfId="0" applyFont="1" applyBorder="1" applyAlignment="1" applyProtection="1">
      <alignment wrapText="1"/>
      <protection locked="0"/>
    </xf>
    <xf numFmtId="0" fontId="45" fillId="0" borderId="91" xfId="0" applyFont="1" applyBorder="1" applyAlignment="1" applyProtection="1">
      <alignment wrapText="1"/>
      <protection locked="0"/>
    </xf>
    <xf numFmtId="0" fontId="45" fillId="0" borderId="92" xfId="0" applyFont="1" applyBorder="1" applyAlignment="1" applyProtection="1">
      <alignment wrapText="1"/>
      <protection locked="0"/>
    </xf>
    <xf numFmtId="0" fontId="44" fillId="3" borderId="93" xfId="0" applyFont="1" applyFill="1" applyBorder="1" applyAlignment="1">
      <alignment horizontal="left" wrapText="1"/>
    </xf>
    <xf numFmtId="0" fontId="54" fillId="2" borderId="2" xfId="0" applyFont="1" applyFill="1" applyBorder="1" applyAlignment="1">
      <alignment horizontal="center" vertical="center" wrapText="1"/>
    </xf>
    <xf numFmtId="0" fontId="55" fillId="0" borderId="17" xfId="0" applyFont="1" applyFill="1" applyBorder="1" applyAlignment="1" applyProtection="1">
      <alignment horizontal="center" vertical="center" wrapText="1"/>
      <protection locked="0"/>
    </xf>
    <xf numFmtId="0" fontId="55" fillId="0" borderId="19" xfId="0" applyFont="1" applyFill="1" applyBorder="1" applyAlignment="1" applyProtection="1">
      <alignment horizontal="center" wrapText="1"/>
      <protection locked="0"/>
    </xf>
    <xf numFmtId="0" fontId="55" fillId="0" borderId="94" xfId="0" applyFont="1" applyFill="1" applyBorder="1" applyAlignment="1" applyProtection="1">
      <alignment horizontal="center" wrapText="1"/>
      <protection locked="0"/>
    </xf>
    <xf numFmtId="0" fontId="49" fillId="0" borderId="8" xfId="0" applyFont="1" applyFill="1" applyBorder="1" applyAlignment="1">
      <alignment horizontal="left" wrapText="1"/>
    </xf>
    <xf numFmtId="0" fontId="55" fillId="0" borderId="27" xfId="0" applyFont="1" applyFill="1" applyBorder="1" applyAlignment="1" applyProtection="1">
      <alignment horizontal="center" wrapText="1"/>
      <protection locked="0"/>
    </xf>
    <xf numFmtId="0" fontId="49" fillId="7" borderId="8" xfId="0" applyFont="1" applyFill="1" applyBorder="1" applyAlignment="1">
      <alignment horizontal="left" wrapText="1"/>
    </xf>
    <xf numFmtId="0" fontId="49" fillId="7" borderId="2" xfId="0" applyFont="1" applyFill="1" applyBorder="1" applyAlignment="1">
      <alignment wrapText="1"/>
    </xf>
    <xf numFmtId="0" fontId="49" fillId="0" borderId="0" xfId="0" applyFont="1" applyAlignment="1">
      <alignment wrapText="1"/>
    </xf>
    <xf numFmtId="0" fontId="39" fillId="3" borderId="13" xfId="0" applyFont="1" applyFill="1" applyBorder="1" applyAlignment="1">
      <alignment horizontal="left" wrapText="1"/>
    </xf>
    <xf numFmtId="0" fontId="40" fillId="0" borderId="13" xfId="0" applyFont="1" applyFill="1" applyBorder="1" applyAlignment="1" applyProtection="1">
      <alignment horizontal="left" wrapText="1"/>
      <protection locked="0"/>
    </xf>
    <xf numFmtId="0" fontId="40" fillId="0" borderId="95" xfId="0" applyFont="1" applyFill="1" applyBorder="1" applyAlignment="1" applyProtection="1">
      <alignment horizontal="left" wrapText="1"/>
      <protection locked="0"/>
    </xf>
    <xf numFmtId="0" fontId="57" fillId="3" borderId="0" xfId="0" applyFont="1" applyFill="1" applyAlignment="1">
      <alignment horizontal="center" vertical="center"/>
    </xf>
    <xf numFmtId="0" fontId="58" fillId="2" borderId="96" xfId="1" applyFont="1" applyFill="1" applyBorder="1" applyAlignment="1" applyProtection="1">
      <alignment horizontal="left" vertical="center"/>
    </xf>
    <xf numFmtId="0" fontId="58" fillId="2" borderId="97" xfId="1" applyFont="1" applyFill="1" applyBorder="1" applyAlignment="1" applyProtection="1">
      <alignment horizontal="left" vertical="center"/>
    </xf>
    <xf numFmtId="0" fontId="0" fillId="0" borderId="0" xfId="0" applyFont="1" applyAlignment="1">
      <alignment wrapText="1"/>
    </xf>
    <xf numFmtId="0" fontId="59" fillId="0" borderId="0" xfId="0" applyFont="1" applyFill="1" applyBorder="1" applyAlignment="1" applyProtection="1">
      <alignment vertical="center"/>
      <protection hidden="1"/>
    </xf>
    <xf numFmtId="0" fontId="0" fillId="0" borderId="134" xfId="0" applyFont="1" applyBorder="1" applyAlignment="1">
      <alignment horizontal="left" vertical="center" wrapText="1"/>
    </xf>
    <xf numFmtId="0" fontId="0" fillId="0" borderId="135" xfId="0" applyBorder="1" applyAlignment="1">
      <alignment horizontal="left" vertical="center" wrapText="1"/>
    </xf>
    <xf numFmtId="0" fontId="0" fillId="0" borderId="136" xfId="0" applyBorder="1" applyAlignment="1">
      <alignment horizontal="left" vertical="center" wrapText="1"/>
    </xf>
    <xf numFmtId="0" fontId="56" fillId="0" borderId="0" xfId="0" applyFont="1" applyFill="1" applyBorder="1" applyAlignment="1" applyProtection="1">
      <alignment horizontal="center" vertical="center"/>
      <protection hidden="1"/>
    </xf>
    <xf numFmtId="0" fontId="5" fillId="0" borderId="9" xfId="0" applyFont="1" applyFill="1" applyBorder="1" applyAlignment="1" applyProtection="1">
      <alignment horizontal="center" vertical="center"/>
      <protection hidden="1"/>
    </xf>
    <xf numFmtId="1" fontId="30" fillId="0" borderId="67" xfId="0" applyNumberFormat="1" applyFont="1" applyFill="1" applyBorder="1" applyAlignment="1" applyProtection="1">
      <alignment horizontal="center" vertical="center"/>
      <protection hidden="1"/>
    </xf>
    <xf numFmtId="1" fontId="30" fillId="0" borderId="68" xfId="0" applyNumberFormat="1" applyFont="1" applyFill="1" applyBorder="1" applyAlignment="1" applyProtection="1">
      <alignment horizontal="center" vertical="center"/>
      <protection hidden="1"/>
    </xf>
    <xf numFmtId="1" fontId="30" fillId="0" borderId="69" xfId="0" applyNumberFormat="1" applyFont="1" applyFill="1" applyBorder="1" applyAlignment="1" applyProtection="1">
      <alignment horizontal="center" vertical="center"/>
      <protection hidden="1"/>
    </xf>
    <xf numFmtId="0" fontId="25" fillId="2" borderId="9" xfId="0" applyFont="1" applyFill="1" applyBorder="1" applyAlignment="1" applyProtection="1">
      <alignment horizontal="center" vertical="center" wrapText="1"/>
      <protection hidden="1"/>
    </xf>
    <xf numFmtId="0" fontId="15" fillId="2" borderId="74" xfId="0" applyFont="1" applyFill="1" applyBorder="1" applyAlignment="1" applyProtection="1">
      <alignment vertical="center" wrapText="1"/>
      <protection hidden="1"/>
    </xf>
    <xf numFmtId="0" fontId="0" fillId="0" borderId="0" xfId="0" applyProtection="1">
      <protection hidden="1"/>
    </xf>
    <xf numFmtId="0" fontId="0" fillId="0" borderId="10" xfId="0" applyBorder="1" applyProtection="1">
      <protection hidden="1"/>
    </xf>
    <xf numFmtId="0" fontId="0" fillId="0" borderId="8" xfId="0" applyBorder="1" applyProtection="1">
      <protection hidden="1"/>
    </xf>
    <xf numFmtId="0" fontId="0" fillId="0" borderId="11" xfId="0" applyBorder="1" applyProtection="1">
      <protection hidden="1"/>
    </xf>
    <xf numFmtId="0" fontId="0" fillId="0" borderId="4" xfId="0" applyBorder="1" applyProtection="1">
      <protection hidden="1"/>
    </xf>
    <xf numFmtId="0" fontId="0" fillId="0" borderId="79" xfId="0" applyBorder="1" applyProtection="1">
      <protection hidden="1"/>
    </xf>
    <xf numFmtId="0" fontId="0" fillId="0" borderId="80" xfId="0" applyBorder="1" applyProtection="1">
      <protection hidden="1"/>
    </xf>
    <xf numFmtId="0" fontId="0" fillId="0" borderId="81" xfId="0" applyBorder="1" applyProtection="1">
      <protection hidden="1"/>
    </xf>
    <xf numFmtId="0" fontId="0" fillId="0" borderId="9" xfId="0" applyBorder="1" applyProtection="1">
      <protection hidden="1"/>
    </xf>
    <xf numFmtId="0" fontId="0" fillId="0" borderId="82" xfId="0" applyBorder="1" applyProtection="1">
      <protection hidden="1"/>
    </xf>
    <xf numFmtId="0" fontId="0" fillId="0" borderId="83" xfId="0" applyBorder="1" applyProtection="1">
      <protection hidden="1"/>
    </xf>
    <xf numFmtId="0" fontId="0" fillId="0" borderId="67" xfId="0" applyBorder="1" applyProtection="1">
      <protection hidden="1"/>
    </xf>
    <xf numFmtId="0" fontId="0" fillId="0" borderId="68" xfId="0" applyBorder="1" applyProtection="1">
      <protection hidden="1"/>
    </xf>
    <xf numFmtId="0" fontId="51" fillId="0" borderId="0" xfId="0" applyFont="1" applyFill="1" applyBorder="1" applyAlignment="1" applyProtection="1">
      <alignment vertical="center"/>
      <protection hidden="1"/>
    </xf>
    <xf numFmtId="0" fontId="0" fillId="0" borderId="69" xfId="0" applyBorder="1" applyProtection="1">
      <protection hidden="1"/>
    </xf>
    <xf numFmtId="0" fontId="52" fillId="0" borderId="0" xfId="0" applyFont="1" applyBorder="1" applyAlignment="1" applyProtection="1">
      <protection hidden="1"/>
    </xf>
    <xf numFmtId="0" fontId="0" fillId="0" borderId="84" xfId="0" applyBorder="1" applyProtection="1">
      <protection hidden="1"/>
    </xf>
    <xf numFmtId="0" fontId="0" fillId="0" borderId="85" xfId="0" applyBorder="1" applyProtection="1">
      <protection hidden="1"/>
    </xf>
    <xf numFmtId="0" fontId="0" fillId="0" borderId="86" xfId="0" applyBorder="1" applyProtection="1">
      <protection hidden="1"/>
    </xf>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53" fillId="2" borderId="8" xfId="0" applyFont="1"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top"/>
      <protection hidden="1"/>
    </xf>
    <xf numFmtId="0" fontId="38" fillId="0" borderId="0" xfId="0" applyFont="1" applyFill="1" applyBorder="1" applyAlignment="1" applyProtection="1">
      <alignment vertical="top" wrapText="1"/>
      <protection hidden="1"/>
    </xf>
    <xf numFmtId="0" fontId="38" fillId="0" borderId="0" xfId="0" applyFont="1" applyFill="1" applyBorder="1" applyAlignment="1" applyProtection="1">
      <alignment vertical="center" wrapText="1"/>
      <protection hidden="1"/>
    </xf>
    <xf numFmtId="0" fontId="0" fillId="0" borderId="0" xfId="0" applyFill="1" applyBorder="1" applyProtection="1">
      <protection locked="0" hidden="1"/>
    </xf>
    <xf numFmtId="0" fontId="0" fillId="0" borderId="0" xfId="0" applyFill="1" applyBorder="1" applyAlignment="1" applyProtection="1">
      <alignment horizontal="center"/>
      <protection locked="0" hidden="1"/>
    </xf>
    <xf numFmtId="0" fontId="6" fillId="0" borderId="9" xfId="0" applyFont="1" applyFill="1" applyBorder="1" applyAlignment="1" applyProtection="1">
      <alignment horizontal="center" vertical="center"/>
      <protection locked="0" hidden="1"/>
    </xf>
    <xf numFmtId="0" fontId="26" fillId="3" borderId="67" xfId="0" applyNumberFormat="1" applyFont="1" applyFill="1" applyBorder="1" applyAlignment="1" applyProtection="1">
      <alignment horizontal="left" vertical="center" wrapText="1"/>
      <protection hidden="1"/>
    </xf>
    <xf numFmtId="0" fontId="12" fillId="3" borderId="70" xfId="0" applyNumberFormat="1" applyFont="1" applyFill="1" applyBorder="1" applyAlignment="1" applyProtection="1">
      <alignment horizontal="center" vertical="center" wrapText="1"/>
      <protection hidden="1"/>
    </xf>
    <xf numFmtId="14" fontId="12" fillId="3" borderId="71" xfId="0" applyNumberFormat="1" applyFont="1" applyFill="1" applyBorder="1" applyAlignment="1" applyProtection="1">
      <alignment horizontal="center" vertical="center" wrapText="1"/>
      <protection hidden="1"/>
    </xf>
    <xf numFmtId="0" fontId="27" fillId="0" borderId="67" xfId="0" applyFont="1" applyFill="1" applyBorder="1" applyAlignment="1" applyProtection="1">
      <alignment horizontal="center" vertical="center"/>
      <protection hidden="1"/>
    </xf>
    <xf numFmtId="0" fontId="27" fillId="0" borderId="70" xfId="0" applyFont="1" applyFill="1" applyBorder="1" applyAlignment="1" applyProtection="1">
      <alignment horizontal="center" vertical="center"/>
      <protection locked="0" hidden="1"/>
    </xf>
    <xf numFmtId="0" fontId="27" fillId="0" borderId="70" xfId="0" applyFont="1" applyFill="1" applyBorder="1" applyAlignment="1" applyProtection="1">
      <alignment horizontal="center" vertical="center"/>
      <protection hidden="1"/>
    </xf>
    <xf numFmtId="0" fontId="26" fillId="3" borderId="68" xfId="0" applyNumberFormat="1" applyFont="1" applyFill="1" applyBorder="1" applyAlignment="1" applyProtection="1">
      <alignment horizontal="left" vertical="center" wrapText="1"/>
      <protection hidden="1"/>
    </xf>
    <xf numFmtId="0" fontId="12" fillId="3" borderId="58" xfId="0" applyNumberFormat="1" applyFont="1" applyFill="1" applyBorder="1" applyAlignment="1" applyProtection="1">
      <alignment horizontal="center" vertical="center" wrapText="1"/>
      <protection hidden="1"/>
    </xf>
    <xf numFmtId="14" fontId="12" fillId="3" borderId="72" xfId="0" applyNumberFormat="1" applyFont="1" applyFill="1" applyBorder="1" applyAlignment="1" applyProtection="1">
      <alignment horizontal="center" vertical="center" wrapText="1"/>
      <protection hidden="1"/>
    </xf>
    <xf numFmtId="0" fontId="27" fillId="0" borderId="68" xfId="0" applyFont="1" applyFill="1" applyBorder="1" applyAlignment="1" applyProtection="1">
      <alignment horizontal="center" vertical="center"/>
      <protection hidden="1"/>
    </xf>
    <xf numFmtId="0" fontId="27" fillId="0" borderId="58" xfId="0" applyFont="1" applyFill="1" applyBorder="1" applyAlignment="1" applyProtection="1">
      <alignment horizontal="center" vertical="center"/>
      <protection locked="0" hidden="1"/>
    </xf>
    <xf numFmtId="0" fontId="27" fillId="0" borderId="58" xfId="0" applyFont="1" applyFill="1" applyBorder="1" applyAlignment="1" applyProtection="1">
      <alignment horizontal="center" vertical="center"/>
      <protection hidden="1"/>
    </xf>
    <xf numFmtId="0" fontId="26" fillId="3" borderId="69" xfId="0" applyNumberFormat="1" applyFont="1" applyFill="1" applyBorder="1" applyAlignment="1" applyProtection="1">
      <alignment horizontal="left" vertical="center" wrapText="1"/>
      <protection hidden="1"/>
    </xf>
    <xf numFmtId="0" fontId="12" fillId="3" borderId="66" xfId="0" applyNumberFormat="1" applyFont="1" applyFill="1" applyBorder="1" applyAlignment="1" applyProtection="1">
      <alignment horizontal="center" vertical="center" wrapText="1"/>
      <protection hidden="1"/>
    </xf>
    <xf numFmtId="14" fontId="12" fillId="3" borderId="73" xfId="0" applyNumberFormat="1" applyFont="1" applyFill="1" applyBorder="1" applyAlignment="1" applyProtection="1">
      <alignment horizontal="center" vertical="center" wrapText="1"/>
      <protection hidden="1"/>
    </xf>
    <xf numFmtId="0" fontId="27" fillId="0" borderId="69" xfId="0" applyFont="1" applyFill="1" applyBorder="1" applyAlignment="1" applyProtection="1">
      <alignment horizontal="center" vertical="center"/>
      <protection hidden="1"/>
    </xf>
    <xf numFmtId="0" fontId="27" fillId="0" borderId="66" xfId="0" applyFont="1" applyFill="1" applyBorder="1" applyAlignment="1" applyProtection="1">
      <alignment horizontal="center" vertical="center"/>
      <protection locked="0" hidden="1"/>
    </xf>
    <xf numFmtId="0" fontId="27" fillId="0" borderId="66" xfId="0" applyFont="1" applyFill="1" applyBorder="1" applyAlignment="1" applyProtection="1">
      <alignment horizontal="center" vertical="center"/>
      <protection hidden="1"/>
    </xf>
    <xf numFmtId="0" fontId="1" fillId="6" borderId="0" xfId="1" applyFill="1" applyAlignment="1" applyProtection="1">
      <alignment horizontal="center" vertical="center" wrapText="1"/>
      <protection hidden="1"/>
    </xf>
    <xf numFmtId="0" fontId="38" fillId="0" borderId="0" xfId="0" applyFont="1" applyAlignment="1" applyProtection="1">
      <alignment vertical="center" wrapText="1"/>
      <protection hidden="1"/>
    </xf>
    <xf numFmtId="0" fontId="1" fillId="0" borderId="0" xfId="1" applyFill="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0" fillId="0" borderId="2"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8" fillId="0" borderId="0" xfId="0" applyFont="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right" vertical="center" wrapText="1"/>
      <protection hidden="1"/>
    </xf>
    <xf numFmtId="0" fontId="38" fillId="3" borderId="51" xfId="0" applyFont="1" applyFill="1" applyBorder="1" applyAlignment="1" applyProtection="1">
      <alignment horizontal="center" textRotation="90" wrapText="1"/>
      <protection hidden="1"/>
    </xf>
    <xf numFmtId="0" fontId="49" fillId="3" borderId="49" xfId="0" applyFont="1" applyFill="1" applyBorder="1" applyAlignment="1" applyProtection="1">
      <alignment horizontal="center" textRotation="90" wrapText="1"/>
      <protection hidden="1"/>
    </xf>
    <xf numFmtId="0" fontId="38" fillId="3" borderId="49" xfId="0" applyFont="1" applyFill="1" applyBorder="1" applyAlignment="1" applyProtection="1">
      <alignment horizontal="center" textRotation="90" wrapText="1"/>
      <protection hidden="1"/>
    </xf>
    <xf numFmtId="0" fontId="38" fillId="3" borderId="50" xfId="0" applyFont="1" applyFill="1" applyBorder="1" applyAlignment="1" applyProtection="1">
      <alignment horizontal="center" textRotation="90" wrapText="1"/>
      <protection hidden="1"/>
    </xf>
    <xf numFmtId="0" fontId="48" fillId="3" borderId="50" xfId="0" applyFont="1" applyFill="1" applyBorder="1" applyAlignment="1" applyProtection="1">
      <alignment horizontal="center" textRotation="90" wrapText="1"/>
      <protection hidden="1"/>
    </xf>
    <xf numFmtId="0" fontId="47" fillId="3" borderId="49" xfId="0" applyFont="1" applyFill="1" applyBorder="1" applyAlignment="1" applyProtection="1">
      <alignment horizontal="center" textRotation="90" wrapText="1"/>
      <protection hidden="1"/>
    </xf>
    <xf numFmtId="0" fontId="46" fillId="2" borderId="1" xfId="0" applyFont="1" applyFill="1" applyBorder="1" applyAlignment="1" applyProtection="1">
      <alignment horizontal="center" textRotation="90" wrapText="1"/>
      <protection hidden="1"/>
    </xf>
    <xf numFmtId="0" fontId="46" fillId="5" borderId="3" xfId="0" applyFont="1" applyFill="1" applyBorder="1" applyAlignment="1" applyProtection="1">
      <alignment horizontal="center" textRotation="90" wrapText="1"/>
      <protection hidden="1"/>
    </xf>
    <xf numFmtId="0" fontId="38" fillId="3" borderId="5" xfId="0" applyFont="1" applyFill="1" applyBorder="1" applyAlignment="1" applyProtection="1">
      <alignment horizontal="center" vertical="center" wrapText="1"/>
      <protection hidden="1"/>
    </xf>
    <xf numFmtId="0" fontId="38" fillId="0" borderId="52" xfId="0" applyFont="1" applyBorder="1" applyAlignment="1" applyProtection="1">
      <alignment horizontal="center" vertical="center" wrapText="1"/>
      <protection locked="0" hidden="1"/>
    </xf>
    <xf numFmtId="0" fontId="38" fillId="0" borderId="53" xfId="0" applyFont="1" applyBorder="1" applyAlignment="1" applyProtection="1">
      <alignment horizontal="center" vertical="center" wrapText="1"/>
      <protection locked="0" hidden="1"/>
    </xf>
    <xf numFmtId="0" fontId="38" fillId="0" borderId="54" xfId="0" applyFont="1" applyBorder="1" applyAlignment="1" applyProtection="1">
      <alignment horizontal="center" vertical="center" wrapText="1"/>
      <protection locked="0" hidden="1"/>
    </xf>
    <xf numFmtId="0" fontId="38" fillId="0" borderId="17" xfId="0" applyFont="1" applyBorder="1" applyAlignment="1" applyProtection="1">
      <alignment horizontal="center" vertical="center" wrapText="1"/>
      <protection locked="0" hidden="1"/>
    </xf>
    <xf numFmtId="0" fontId="38" fillId="0" borderId="18" xfId="0" applyFont="1" applyBorder="1" applyAlignment="1" applyProtection="1">
      <alignment horizontal="center" vertical="center" wrapText="1"/>
      <protection locked="0" hidden="1"/>
    </xf>
    <xf numFmtId="0" fontId="38" fillId="0" borderId="33" xfId="0" applyFont="1" applyBorder="1" applyAlignment="1" applyProtection="1">
      <alignment horizontal="center" vertical="center" wrapText="1"/>
      <protection locked="0" hidden="1"/>
    </xf>
    <xf numFmtId="0" fontId="38" fillId="4" borderId="17" xfId="0" applyFont="1" applyFill="1" applyBorder="1" applyAlignment="1" applyProtection="1">
      <alignment horizontal="center" vertical="center" wrapText="1"/>
      <protection hidden="1"/>
    </xf>
    <xf numFmtId="0" fontId="38" fillId="3" borderId="7" xfId="0" applyFont="1" applyFill="1" applyBorder="1" applyAlignment="1" applyProtection="1">
      <alignment horizontal="center" vertical="center" wrapText="1"/>
      <protection hidden="1"/>
    </xf>
    <xf numFmtId="0" fontId="38" fillId="0" borderId="55" xfId="0" applyFont="1" applyBorder="1" applyAlignment="1" applyProtection="1">
      <alignment horizontal="center" vertical="center" wrapText="1"/>
      <protection locked="0" hidden="1"/>
    </xf>
    <xf numFmtId="0" fontId="38" fillId="0" borderId="56" xfId="0" applyFont="1" applyBorder="1" applyAlignment="1" applyProtection="1">
      <alignment horizontal="center" vertical="center" wrapText="1"/>
      <protection locked="0" hidden="1"/>
    </xf>
    <xf numFmtId="0" fontId="38" fillId="0" borderId="57" xfId="0" applyFont="1" applyBorder="1" applyAlignment="1" applyProtection="1">
      <alignment horizontal="center" vertical="center" wrapText="1"/>
      <protection locked="0" hidden="1"/>
    </xf>
    <xf numFmtId="0" fontId="38" fillId="0" borderId="27" xfId="0" applyFont="1" applyBorder="1" applyAlignment="1" applyProtection="1">
      <alignment horizontal="center" vertical="center" wrapText="1"/>
      <protection locked="0" hidden="1"/>
    </xf>
    <xf numFmtId="0" fontId="38" fillId="0" borderId="28" xfId="0" applyFont="1" applyBorder="1" applyAlignment="1" applyProtection="1">
      <alignment horizontal="center" vertical="center" wrapText="1"/>
      <protection locked="0" hidden="1"/>
    </xf>
    <xf numFmtId="0" fontId="38" fillId="0" borderId="35" xfId="0" applyFont="1" applyBorder="1" applyAlignment="1" applyProtection="1">
      <alignment horizontal="center" vertical="center" wrapText="1"/>
      <protection locked="0" hidden="1"/>
    </xf>
    <xf numFmtId="0" fontId="38" fillId="4" borderId="27" xfId="0" applyFont="1" applyFill="1" applyBorder="1" applyAlignment="1" applyProtection="1">
      <alignment horizontal="center" vertical="center" wrapText="1"/>
      <protection hidden="1"/>
    </xf>
    <xf numFmtId="0" fontId="1" fillId="0" borderId="0" xfId="1" applyFill="1" applyAlignment="1" applyProtection="1">
      <alignment vertical="center" wrapText="1"/>
      <protection hidden="1"/>
    </xf>
    <xf numFmtId="0" fontId="0" fillId="0" borderId="0" xfId="0" applyAlignment="1" applyProtection="1">
      <alignment vertical="center"/>
      <protection hidden="1"/>
    </xf>
    <xf numFmtId="0" fontId="3" fillId="0" borderId="0" xfId="0" applyFont="1" applyFill="1" applyBorder="1" applyProtection="1">
      <protection locked="0" hidden="1"/>
    </xf>
    <xf numFmtId="0" fontId="3" fillId="0" borderId="0" xfId="0" applyFont="1" applyFill="1" applyBorder="1" applyAlignment="1" applyProtection="1">
      <alignment vertical="center"/>
      <protection locked="0" hidden="1"/>
    </xf>
    <xf numFmtId="0" fontId="4" fillId="0" borderId="37" xfId="0" applyFont="1" applyFill="1" applyBorder="1" applyAlignment="1" applyProtection="1">
      <alignment horizontal="center" textRotation="90"/>
      <protection locked="0" hidden="1"/>
    </xf>
    <xf numFmtId="0" fontId="4" fillId="0" borderId="38" xfId="0" applyFont="1" applyFill="1" applyBorder="1" applyAlignment="1" applyProtection="1">
      <alignment horizontal="center" textRotation="90"/>
      <protection locked="0" hidden="1"/>
    </xf>
    <xf numFmtId="0" fontId="4" fillId="0" borderId="39" xfId="0" applyFont="1" applyFill="1" applyBorder="1" applyAlignment="1" applyProtection="1">
      <alignment horizontal="center" textRotation="90"/>
      <protection locked="0" hidden="1"/>
    </xf>
    <xf numFmtId="0" fontId="2" fillId="0" borderId="17" xfId="0" applyFont="1" applyFill="1" applyBorder="1" applyAlignment="1" applyProtection="1">
      <alignment horizontal="center" vertical="center"/>
      <protection locked="0" hidden="1"/>
    </xf>
    <xf numFmtId="0" fontId="2" fillId="0" borderId="18" xfId="0" applyFont="1" applyFill="1" applyBorder="1" applyAlignment="1" applyProtection="1">
      <alignment horizontal="center" vertical="center"/>
      <protection locked="0" hidden="1"/>
    </xf>
    <xf numFmtId="0" fontId="2" fillId="0" borderId="33" xfId="0" applyFont="1" applyFill="1" applyBorder="1" applyAlignment="1" applyProtection="1">
      <alignment horizontal="center" vertical="center"/>
      <protection locked="0" hidden="1"/>
    </xf>
    <xf numFmtId="0" fontId="6" fillId="4" borderId="10" xfId="0" applyFont="1" applyFill="1" applyBorder="1" applyAlignment="1" applyProtection="1">
      <alignment horizontal="center"/>
      <protection hidden="1"/>
    </xf>
    <xf numFmtId="0" fontId="6" fillId="4" borderId="8" xfId="0" applyFont="1" applyFill="1" applyBorder="1" applyAlignment="1" applyProtection="1">
      <alignment horizontal="center"/>
      <protection hidden="1"/>
    </xf>
    <xf numFmtId="0" fontId="7" fillId="2" borderId="11"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protection locked="0" hidden="1"/>
    </xf>
    <xf numFmtId="0" fontId="2" fillId="0" borderId="20" xfId="0" applyFont="1" applyFill="1" applyBorder="1" applyAlignment="1" applyProtection="1">
      <alignment horizontal="center" vertical="center"/>
      <protection locked="0" hidden="1"/>
    </xf>
    <xf numFmtId="0" fontId="2" fillId="0" borderId="34" xfId="0" applyFont="1" applyFill="1" applyBorder="1" applyAlignment="1" applyProtection="1">
      <alignment horizontal="center" vertical="center"/>
      <protection locked="0" hidden="1"/>
    </xf>
    <xf numFmtId="0" fontId="6" fillId="4" borderId="4" xfId="0" applyFont="1" applyFill="1" applyBorder="1" applyAlignment="1" applyProtection="1">
      <alignment horizontal="center"/>
      <protection hidden="1"/>
    </xf>
    <xf numFmtId="0" fontId="6" fillId="4" borderId="0" xfId="0" applyFont="1" applyFill="1" applyBorder="1" applyAlignment="1" applyProtection="1">
      <alignment horizontal="center"/>
      <protection hidden="1"/>
    </xf>
    <xf numFmtId="0" fontId="7" fillId="2" borderId="9" xfId="0" applyFont="1" applyFill="1" applyBorder="1" applyAlignment="1" applyProtection="1">
      <alignment horizontal="center" vertical="center"/>
      <protection hidden="1"/>
    </xf>
    <xf numFmtId="0" fontId="2" fillId="0" borderId="27" xfId="0" applyFont="1" applyFill="1" applyBorder="1" applyAlignment="1" applyProtection="1">
      <alignment horizontal="center" vertical="center"/>
      <protection locked="0" hidden="1"/>
    </xf>
    <xf numFmtId="0" fontId="2" fillId="0" borderId="28" xfId="0" applyFont="1" applyFill="1" applyBorder="1" applyAlignment="1" applyProtection="1">
      <alignment horizontal="center" vertical="center"/>
      <protection locked="0" hidden="1"/>
    </xf>
    <xf numFmtId="0" fontId="2" fillId="0" borderId="35" xfId="0" applyFont="1" applyFill="1" applyBorder="1" applyAlignment="1" applyProtection="1">
      <alignment horizontal="center" vertical="center"/>
      <protection locked="0" hidden="1"/>
    </xf>
    <xf numFmtId="0" fontId="6" fillId="4" borderId="1" xfId="0" applyFont="1" applyFill="1" applyBorder="1" applyAlignment="1" applyProtection="1">
      <alignment horizontal="center"/>
      <protection hidden="1"/>
    </xf>
    <xf numFmtId="0" fontId="6" fillId="4" borderId="2" xfId="0" applyFont="1" applyFill="1" applyBorder="1" applyAlignment="1" applyProtection="1">
      <alignment horizontal="center"/>
      <protection hidden="1"/>
    </xf>
    <xf numFmtId="0" fontId="7" fillId="2" borderId="3" xfId="0" applyFont="1" applyFill="1" applyBorder="1" applyAlignment="1" applyProtection="1">
      <alignment horizontal="center" vertical="center"/>
      <protection hidden="1"/>
    </xf>
    <xf numFmtId="0" fontId="3" fillId="0" borderId="0" xfId="0" applyFont="1" applyFill="1" applyBorder="1" applyAlignment="1" applyProtection="1">
      <alignment horizontal="center" vertical="center"/>
      <protection locked="0" hidden="1"/>
    </xf>
    <xf numFmtId="0" fontId="5" fillId="0" borderId="0" xfId="0" applyFont="1" applyFill="1" applyBorder="1" applyAlignment="1" applyProtection="1">
      <alignment horizontal="center" vertical="center"/>
      <protection locked="0" hidden="1"/>
    </xf>
    <xf numFmtId="0" fontId="41" fillId="0" borderId="36" xfId="0" applyFont="1" applyBorder="1" applyAlignment="1" applyProtection="1">
      <alignment vertical="center"/>
      <protection locked="0"/>
    </xf>
    <xf numFmtId="0" fontId="41" fillId="0" borderId="24" xfId="0" applyFont="1" applyBorder="1" applyAlignment="1" applyProtection="1">
      <alignment vertical="center"/>
      <protection locked="0"/>
    </xf>
    <xf numFmtId="0" fontId="41" fillId="0" borderId="25" xfId="0" applyFont="1" applyBorder="1" applyAlignment="1" applyProtection="1">
      <alignment vertical="center"/>
      <protection locked="0"/>
    </xf>
    <xf numFmtId="0" fontId="41" fillId="0" borderId="36" xfId="0" applyFont="1" applyBorder="1" applyAlignment="1" applyProtection="1">
      <alignment horizontal="left" vertical="center"/>
      <protection locked="0"/>
    </xf>
    <xf numFmtId="0" fontId="88" fillId="11" borderId="0" xfId="1" applyFont="1" applyFill="1" applyAlignment="1" applyProtection="1">
      <alignment horizontal="center"/>
    </xf>
    <xf numFmtId="0" fontId="52" fillId="4" borderId="0" xfId="0" applyFont="1" applyFill="1" applyAlignment="1">
      <alignment horizontal="center" vertical="center"/>
    </xf>
    <xf numFmtId="0" fontId="85" fillId="4" borderId="0" xfId="0" applyFont="1" applyFill="1" applyAlignment="1">
      <alignment horizontal="center"/>
    </xf>
    <xf numFmtId="0" fontId="87" fillId="3" borderId="0" xfId="1" applyFont="1" applyFill="1" applyAlignment="1" applyProtection="1">
      <alignment horizontal="center" vertical="center"/>
    </xf>
    <xf numFmtId="0" fontId="86" fillId="3" borderId="0" xfId="0" applyFont="1" applyFill="1" applyAlignment="1">
      <alignment horizontal="center"/>
    </xf>
    <xf numFmtId="0" fontId="84" fillId="3" borderId="0" xfId="1" applyFont="1" applyFill="1" applyAlignment="1" applyProtection="1">
      <alignment horizontal="center"/>
    </xf>
    <xf numFmtId="0" fontId="52" fillId="2" borderId="1" xfId="0" applyFont="1" applyFill="1" applyBorder="1" applyAlignment="1">
      <alignment horizontal="center" vertical="center"/>
    </xf>
    <xf numFmtId="0" fontId="52" fillId="2" borderId="3" xfId="0" applyFont="1" applyFill="1" applyBorder="1" applyAlignment="1">
      <alignment horizontal="center" vertical="center"/>
    </xf>
    <xf numFmtId="0" fontId="62" fillId="0" borderId="2" xfId="0" applyFont="1" applyBorder="1" applyAlignment="1">
      <alignment horizontal="left" vertical="center" wrapText="1"/>
    </xf>
    <xf numFmtId="0" fontId="61" fillId="3" borderId="13" xfId="0" applyFont="1" applyFill="1" applyBorder="1" applyAlignment="1" applyProtection="1">
      <alignment horizontal="center" vertical="center" wrapText="1"/>
      <protection locked="0"/>
    </xf>
    <xf numFmtId="0" fontId="60" fillId="0" borderId="13" xfId="0" applyFont="1" applyFill="1" applyBorder="1" applyAlignment="1" applyProtection="1">
      <alignment horizontal="center" vertical="center" wrapText="1"/>
      <protection locked="0"/>
    </xf>
    <xf numFmtId="0" fontId="39" fillId="4" borderId="10" xfId="0" applyFont="1" applyFill="1" applyBorder="1" applyAlignment="1">
      <alignment horizontal="center" vertical="center" wrapText="1"/>
    </xf>
    <xf numFmtId="0" fontId="39" fillId="4" borderId="8" xfId="0" applyFont="1" applyFill="1" applyBorder="1" applyAlignment="1">
      <alignment horizontal="center" vertical="center" wrapText="1"/>
    </xf>
    <xf numFmtId="0" fontId="63" fillId="8" borderId="0" xfId="0" applyFont="1" applyFill="1" applyBorder="1" applyAlignment="1">
      <alignment horizontal="center" vertical="center" wrapText="1"/>
    </xf>
    <xf numFmtId="0" fontId="39" fillId="4" borderId="13"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8" fillId="4" borderId="10" xfId="0" applyFont="1" applyFill="1" applyBorder="1" applyAlignment="1">
      <alignment horizontal="center" vertical="center" wrapText="1"/>
    </xf>
    <xf numFmtId="0" fontId="38" fillId="4" borderId="4" xfId="0" applyFont="1" applyFill="1" applyBorder="1" applyAlignment="1">
      <alignment horizontal="center" vertical="center" wrapText="1"/>
    </xf>
    <xf numFmtId="0" fontId="38" fillId="4" borderId="1" xfId="0" applyFont="1" applyFill="1" applyBorder="1" applyAlignment="1">
      <alignment horizontal="center" vertical="center" wrapText="1"/>
    </xf>
    <xf numFmtId="0" fontId="45" fillId="0" borderId="29" xfId="0" applyFont="1" applyBorder="1" applyAlignment="1" applyProtection="1">
      <alignment horizontal="left" vertical="center" wrapText="1"/>
      <protection locked="0"/>
    </xf>
    <xf numFmtId="0" fontId="45" fillId="0" borderId="98" xfId="0" applyFont="1" applyBorder="1" applyAlignment="1" applyProtection="1">
      <alignment horizontal="left" vertical="center" wrapText="1"/>
      <protection locked="0"/>
    </xf>
    <xf numFmtId="0" fontId="45" fillId="0" borderId="99" xfId="0" applyFont="1" applyBorder="1" applyAlignment="1" applyProtection="1">
      <alignment horizontal="left" vertical="center" wrapText="1"/>
      <protection locked="0"/>
    </xf>
    <xf numFmtId="0" fontId="40" fillId="0" borderId="58" xfId="0" applyFont="1" applyFill="1" applyBorder="1" applyAlignment="1" applyProtection="1">
      <alignment horizontal="center" vertical="center" wrapText="1"/>
      <protection locked="0"/>
    </xf>
    <xf numFmtId="0" fontId="40" fillId="0" borderId="66" xfId="0" applyFont="1" applyFill="1" applyBorder="1" applyAlignment="1" applyProtection="1">
      <alignment horizontal="center" vertical="center" wrapText="1"/>
      <protection locked="0"/>
    </xf>
    <xf numFmtId="0" fontId="40" fillId="0" borderId="72" xfId="0" applyFont="1" applyFill="1" applyBorder="1" applyAlignment="1" applyProtection="1">
      <alignment horizontal="center" vertical="center" wrapText="1"/>
      <protection locked="0"/>
    </xf>
    <xf numFmtId="0" fontId="40" fillId="0" borderId="73" xfId="0" applyFont="1" applyFill="1" applyBorder="1" applyAlignment="1" applyProtection="1">
      <alignment horizontal="center" vertical="center" wrapText="1"/>
      <protection locked="0"/>
    </xf>
    <xf numFmtId="0" fontId="40" fillId="0" borderId="68" xfId="0" applyFont="1" applyFill="1" applyBorder="1" applyAlignment="1" applyProtection="1">
      <alignment horizontal="center" vertical="center" wrapText="1"/>
      <protection locked="0"/>
    </xf>
    <xf numFmtId="0" fontId="39" fillId="4" borderId="14" xfId="0" applyFont="1" applyFill="1" applyBorder="1" applyAlignment="1">
      <alignment horizontal="center" vertical="center" wrapText="1"/>
    </xf>
    <xf numFmtId="0" fontId="38" fillId="4" borderId="8" xfId="0" applyFont="1" applyFill="1" applyBorder="1" applyAlignment="1">
      <alignment horizontal="center" vertical="center" wrapText="1"/>
    </xf>
    <xf numFmtId="0" fontId="38" fillId="4" borderId="11" xfId="0" applyFont="1" applyFill="1" applyBorder="1" applyAlignment="1">
      <alignment horizontal="center" vertical="center" wrapText="1"/>
    </xf>
    <xf numFmtId="0" fontId="38" fillId="4" borderId="2" xfId="0" applyFont="1" applyFill="1" applyBorder="1" applyAlignment="1">
      <alignment horizontal="center" vertical="center" wrapText="1"/>
    </xf>
    <xf numFmtId="0" fontId="38" fillId="4" borderId="3"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40" fillId="0" borderId="67" xfId="0" applyFont="1" applyFill="1" applyBorder="1" applyAlignment="1" applyProtection="1">
      <alignment horizontal="center" vertical="center" wrapText="1"/>
      <protection locked="0"/>
    </xf>
    <xf numFmtId="0" fontId="40" fillId="0" borderId="70" xfId="0" applyFont="1" applyFill="1" applyBorder="1" applyAlignment="1" applyProtection="1">
      <alignment horizontal="center" vertical="center" wrapText="1"/>
      <protection locked="0"/>
    </xf>
    <xf numFmtId="0" fontId="40" fillId="0" borderId="71" xfId="0" applyFont="1" applyFill="1" applyBorder="1" applyAlignment="1" applyProtection="1">
      <alignment horizontal="center" vertical="center" wrapText="1"/>
      <protection locked="0"/>
    </xf>
    <xf numFmtId="0" fontId="40" fillId="0" borderId="69" xfId="0" applyFont="1" applyFill="1" applyBorder="1" applyAlignment="1" applyProtection="1">
      <alignment horizontal="center" vertical="center" wrapText="1"/>
      <protection locked="0"/>
    </xf>
    <xf numFmtId="14" fontId="40" fillId="0" borderId="70" xfId="0" applyNumberFormat="1"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6"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5" fillId="4" borderId="103" xfId="0" applyFont="1" applyFill="1" applyBorder="1" applyAlignment="1" applyProtection="1">
      <alignment horizontal="center" vertical="center"/>
      <protection hidden="1"/>
    </xf>
    <xf numFmtId="0" fontId="5" fillId="4" borderId="104" xfId="0" applyFont="1" applyFill="1" applyBorder="1" applyAlignment="1" applyProtection="1">
      <alignment horizontal="center" vertical="center"/>
      <protection hidden="1"/>
    </xf>
    <xf numFmtId="0" fontId="5" fillId="4" borderId="105"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hidden="1"/>
    </xf>
    <xf numFmtId="0" fontId="8" fillId="4" borderId="8" xfId="0" applyFont="1" applyFill="1" applyBorder="1" applyAlignment="1" applyProtection="1">
      <alignment horizontal="center" vertical="center" wrapText="1"/>
      <protection hidden="1"/>
    </xf>
    <xf numFmtId="0" fontId="8" fillId="4" borderId="11" xfId="0" applyFont="1" applyFill="1" applyBorder="1" applyAlignment="1" applyProtection="1">
      <alignment horizontal="center" vertical="center" wrapText="1"/>
      <protection hidden="1"/>
    </xf>
    <xf numFmtId="0" fontId="8" fillId="4" borderId="4" xfId="0"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wrapText="1"/>
      <protection hidden="1"/>
    </xf>
    <xf numFmtId="0" fontId="8" fillId="4" borderId="9" xfId="0" applyFont="1" applyFill="1" applyBorder="1" applyAlignment="1" applyProtection="1">
      <alignment horizontal="center" vertical="center" wrapText="1"/>
      <protection hidden="1"/>
    </xf>
    <xf numFmtId="0" fontId="9" fillId="4" borderId="5" xfId="0" applyFont="1" applyFill="1" applyBorder="1" applyAlignment="1" applyProtection="1">
      <alignment horizontal="center" vertical="center" wrapText="1"/>
      <protection hidden="1"/>
    </xf>
    <xf numFmtId="0" fontId="9" fillId="4" borderId="6" xfId="0" applyFont="1" applyFill="1" applyBorder="1" applyAlignment="1" applyProtection="1">
      <alignment horizontal="center" vertical="center" wrapText="1"/>
      <protection hidden="1"/>
    </xf>
    <xf numFmtId="0" fontId="9" fillId="4" borderId="7" xfId="0" applyFont="1" applyFill="1" applyBorder="1" applyAlignment="1" applyProtection="1">
      <alignment horizontal="center" vertical="center" wrapText="1"/>
      <protection hidden="1"/>
    </xf>
    <xf numFmtId="0" fontId="56" fillId="0" borderId="2" xfId="0" applyFont="1" applyFill="1" applyBorder="1" applyAlignment="1" applyProtection="1">
      <alignment horizontal="center" vertical="center"/>
      <protection hidden="1"/>
    </xf>
    <xf numFmtId="0" fontId="59" fillId="0" borderId="0" xfId="0" applyFont="1" applyFill="1" applyBorder="1" applyAlignment="1" applyProtection="1">
      <alignment horizontal="center"/>
      <protection hidden="1"/>
    </xf>
    <xf numFmtId="0" fontId="65" fillId="0" borderId="0" xfId="0" applyFont="1" applyFill="1" applyBorder="1" applyAlignment="1" applyProtection="1">
      <alignment horizontal="center"/>
      <protection hidden="1"/>
    </xf>
    <xf numFmtId="0" fontId="68" fillId="0" borderId="2"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5" fillId="4" borderId="100" xfId="0" applyFont="1" applyFill="1" applyBorder="1" applyAlignment="1" applyProtection="1">
      <alignment horizontal="center" vertical="center"/>
      <protection hidden="1"/>
    </xf>
    <xf numFmtId="0" fontId="5" fillId="4" borderId="101" xfId="0" applyFont="1" applyFill="1" applyBorder="1" applyAlignment="1" applyProtection="1">
      <alignment horizontal="center" vertical="center"/>
      <protection hidden="1"/>
    </xf>
    <xf numFmtId="0" fontId="5" fillId="4" borderId="102" xfId="0" applyFont="1" applyFill="1" applyBorder="1" applyAlignment="1" applyProtection="1">
      <alignment horizontal="center" vertical="center"/>
      <protection hidden="1"/>
    </xf>
    <xf numFmtId="0" fontId="4" fillId="4" borderId="6"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5" fillId="0" borderId="3"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1"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64" fillId="0" borderId="0" xfId="0" applyFont="1" applyAlignment="1" applyProtection="1">
      <alignment horizontal="center" vertical="center" wrapText="1"/>
      <protection hidden="1"/>
    </xf>
    <xf numFmtId="0" fontId="66" fillId="4" borderId="0" xfId="1" applyFont="1" applyFill="1" applyAlignment="1" applyProtection="1">
      <alignment horizontal="left" vertical="center"/>
      <protection hidden="1"/>
    </xf>
    <xf numFmtId="0" fontId="67" fillId="4" borderId="0" xfId="0" applyFont="1" applyFill="1" applyAlignment="1" applyProtection="1">
      <alignment horizontal="left" vertical="center"/>
      <protection hidden="1"/>
    </xf>
    <xf numFmtId="0" fontId="52" fillId="2" borderId="0" xfId="0" applyFont="1" applyFill="1" applyAlignment="1" applyProtection="1">
      <alignment horizontal="center" vertical="center"/>
      <protection hidden="1"/>
    </xf>
    <xf numFmtId="0" fontId="38" fillId="0" borderId="0" xfId="0" applyFont="1" applyAlignment="1" applyProtection="1">
      <alignment horizontal="center" vertical="center" wrapText="1"/>
      <protection hidden="1"/>
    </xf>
    <xf numFmtId="0" fontId="38" fillId="3" borderId="24" xfId="0" applyFont="1" applyFill="1" applyBorder="1" applyAlignment="1" applyProtection="1">
      <alignment horizontal="left" vertical="center" wrapText="1"/>
      <protection hidden="1"/>
    </xf>
    <xf numFmtId="0" fontId="46" fillId="2" borderId="11" xfId="0" applyFont="1" applyFill="1" applyBorder="1" applyAlignment="1" applyProtection="1">
      <alignment horizontal="center" vertical="center" wrapText="1"/>
      <protection hidden="1"/>
    </xf>
    <xf numFmtId="0" fontId="46" fillId="2" borderId="3" xfId="0" applyFont="1" applyFill="1" applyBorder="1" applyAlignment="1" applyProtection="1">
      <alignment horizontal="center" vertical="center" wrapText="1"/>
      <protection hidden="1"/>
    </xf>
    <xf numFmtId="0" fontId="38" fillId="3" borderId="25" xfId="0" applyFont="1" applyFill="1" applyBorder="1" applyAlignment="1" applyProtection="1">
      <alignment horizontal="left" vertical="center" wrapText="1"/>
      <protection hidden="1"/>
    </xf>
    <xf numFmtId="0" fontId="38" fillId="3" borderId="36" xfId="0" applyFont="1" applyFill="1" applyBorder="1" applyAlignment="1" applyProtection="1">
      <alignment horizontal="left" vertical="center" wrapText="1"/>
      <protection hidden="1"/>
    </xf>
    <xf numFmtId="0" fontId="0" fillId="0" borderId="2" xfId="0" applyFont="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right" vertical="center" wrapText="1"/>
      <protection hidden="1"/>
    </xf>
    <xf numFmtId="0" fontId="59" fillId="0" borderId="0" xfId="0" applyFont="1" applyFill="1" applyBorder="1" applyAlignment="1" applyProtection="1">
      <alignment horizontal="center" vertical="center"/>
      <protection hidden="1"/>
    </xf>
    <xf numFmtId="0" fontId="0" fillId="4" borderId="5" xfId="0" applyFont="1" applyFill="1" applyBorder="1" applyAlignment="1" applyProtection="1">
      <alignment horizontal="center" vertical="center" wrapText="1"/>
      <protection hidden="1"/>
    </xf>
    <xf numFmtId="0" fontId="0" fillId="4" borderId="6" xfId="0" applyFont="1" applyFill="1" applyBorder="1" applyAlignment="1" applyProtection="1">
      <alignment horizontal="center" vertical="center" wrapText="1"/>
      <protection hidden="1"/>
    </xf>
    <xf numFmtId="0" fontId="0" fillId="4" borderId="7" xfId="0" applyFont="1" applyFill="1" applyBorder="1" applyAlignment="1" applyProtection="1">
      <alignment horizontal="center" vertical="center" wrapText="1"/>
      <protection hidden="1"/>
    </xf>
    <xf numFmtId="0" fontId="38" fillId="4" borderId="5" xfId="0" applyFont="1" applyFill="1" applyBorder="1" applyAlignment="1" applyProtection="1">
      <alignment horizontal="center" vertical="center" textRotation="90" wrapText="1"/>
      <protection hidden="1"/>
    </xf>
    <xf numFmtId="0" fontId="38" fillId="4" borderId="6" xfId="0" applyFont="1" applyFill="1" applyBorder="1" applyAlignment="1" applyProtection="1">
      <alignment horizontal="center" vertical="center" textRotation="90" wrapText="1"/>
      <protection hidden="1"/>
    </xf>
    <xf numFmtId="0" fontId="38" fillId="4" borderId="7" xfId="0" applyFont="1" applyFill="1" applyBorder="1" applyAlignment="1" applyProtection="1">
      <alignment horizontal="center" vertical="center" textRotation="90" wrapText="1"/>
      <protection hidden="1"/>
    </xf>
    <xf numFmtId="0" fontId="38" fillId="4" borderId="10" xfId="0" applyFont="1" applyFill="1" applyBorder="1" applyAlignment="1" applyProtection="1">
      <alignment horizontal="center" vertical="center" wrapText="1"/>
      <protection hidden="1"/>
    </xf>
    <xf numFmtId="0" fontId="38" fillId="4" borderId="8" xfId="0" applyFont="1" applyFill="1" applyBorder="1" applyAlignment="1" applyProtection="1">
      <alignment horizontal="center" vertical="center" wrapText="1"/>
      <protection hidden="1"/>
    </xf>
    <xf numFmtId="0" fontId="38" fillId="4" borderId="11" xfId="0" applyFont="1" applyFill="1" applyBorder="1" applyAlignment="1" applyProtection="1">
      <alignment horizontal="center" vertical="center" wrapText="1"/>
      <protection hidden="1"/>
    </xf>
    <xf numFmtId="0" fontId="38" fillId="2" borderId="4" xfId="0" applyFont="1" applyFill="1" applyBorder="1" applyAlignment="1" applyProtection="1">
      <alignment horizontal="center" vertical="center" wrapText="1"/>
      <protection hidden="1"/>
    </xf>
    <xf numFmtId="0" fontId="38" fillId="2" borderId="0" xfId="0" applyFont="1" applyFill="1" applyBorder="1" applyAlignment="1" applyProtection="1">
      <alignment horizontal="center" vertical="center" wrapText="1"/>
      <protection hidden="1"/>
    </xf>
    <xf numFmtId="0" fontId="38" fillId="2" borderId="9" xfId="0" applyFont="1" applyFill="1" applyBorder="1" applyAlignment="1" applyProtection="1">
      <alignment horizontal="center" vertical="center" wrapText="1"/>
      <protection hidden="1"/>
    </xf>
    <xf numFmtId="0" fontId="38" fillId="4" borderId="4" xfId="0" applyFont="1" applyFill="1" applyBorder="1" applyAlignment="1" applyProtection="1">
      <alignment horizontal="center" vertical="center" wrapText="1"/>
      <protection hidden="1"/>
    </xf>
    <xf numFmtId="0" fontId="38" fillId="4" borderId="9" xfId="0" applyFont="1" applyFill="1" applyBorder="1" applyAlignment="1" applyProtection="1">
      <alignment horizontal="center" vertical="center" wrapText="1"/>
      <protection hidden="1"/>
    </xf>
    <xf numFmtId="0" fontId="52" fillId="0" borderId="110" xfId="0" applyFont="1" applyBorder="1" applyAlignment="1" applyProtection="1">
      <alignment horizontal="center"/>
    </xf>
    <xf numFmtId="0" fontId="69" fillId="0" borderId="0" xfId="0" applyFont="1" applyBorder="1" applyAlignment="1" applyProtection="1">
      <alignment horizontal="center"/>
    </xf>
    <xf numFmtId="0" fontId="13" fillId="4" borderId="10" xfId="0" applyFont="1" applyFill="1" applyBorder="1" applyAlignment="1" applyProtection="1">
      <alignment vertical="center"/>
      <protection hidden="1"/>
    </xf>
    <xf numFmtId="0" fontId="13" fillId="4" borderId="8" xfId="0" applyFont="1" applyFill="1" applyBorder="1" applyAlignment="1" applyProtection="1">
      <alignment vertical="center"/>
      <protection hidden="1"/>
    </xf>
    <xf numFmtId="0" fontId="51" fillId="0" borderId="111" xfId="0" applyFont="1" applyFill="1" applyBorder="1" applyAlignment="1" applyProtection="1">
      <alignment vertical="center"/>
    </xf>
    <xf numFmtId="0" fontId="51" fillId="0" borderId="112" xfId="0" applyFont="1" applyFill="1" applyBorder="1" applyAlignment="1" applyProtection="1">
      <alignment vertical="center"/>
    </xf>
    <xf numFmtId="0" fontId="13" fillId="4" borderId="4" xfId="0" applyFont="1" applyFill="1" applyBorder="1" applyAlignment="1" applyProtection="1">
      <alignment vertical="center"/>
      <protection hidden="1"/>
    </xf>
    <xf numFmtId="0" fontId="13" fillId="4" borderId="0" xfId="0" applyFont="1" applyFill="1" applyBorder="1" applyAlignment="1" applyProtection="1">
      <alignment vertical="center"/>
      <protection hidden="1"/>
    </xf>
    <xf numFmtId="0" fontId="51" fillId="0" borderId="106" xfId="0" applyFont="1" applyFill="1" applyBorder="1" applyAlignment="1" applyProtection="1">
      <alignment horizontal="left" vertical="center"/>
    </xf>
    <xf numFmtId="0" fontId="51" fillId="0" borderId="106" xfId="0" applyFont="1" applyFill="1" applyBorder="1" applyAlignment="1" applyProtection="1">
      <alignment vertical="center"/>
    </xf>
    <xf numFmtId="0" fontId="51" fillId="0" borderId="107" xfId="0" applyFont="1" applyFill="1" applyBorder="1" applyAlignment="1" applyProtection="1">
      <alignment vertical="center"/>
    </xf>
    <xf numFmtId="0" fontId="13" fillId="4" borderId="1" xfId="0" applyFont="1" applyFill="1" applyBorder="1" applyAlignment="1" applyProtection="1">
      <alignment vertical="center"/>
      <protection hidden="1"/>
    </xf>
    <xf numFmtId="0" fontId="13" fillId="4" borderId="2" xfId="0" applyFont="1" applyFill="1" applyBorder="1" applyAlignment="1" applyProtection="1">
      <alignment vertical="center"/>
      <protection hidden="1"/>
    </xf>
    <xf numFmtId="0" fontId="51" fillId="0" borderId="108" xfId="0" applyFont="1" applyFill="1" applyBorder="1" applyAlignment="1" applyProtection="1">
      <alignment vertical="center"/>
    </xf>
    <xf numFmtId="164" fontId="51" fillId="0" borderId="108" xfId="0" applyNumberFormat="1" applyFont="1" applyFill="1" applyBorder="1" applyAlignment="1" applyProtection="1">
      <alignment horizontal="center" vertical="center"/>
    </xf>
    <xf numFmtId="164" fontId="51" fillId="0" borderId="109"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protection hidden="1"/>
    </xf>
    <xf numFmtId="0" fontId="2" fillId="4" borderId="58" xfId="0" applyFont="1" applyFill="1" applyBorder="1" applyAlignment="1" applyProtection="1">
      <alignment horizontal="center" vertical="center" wrapText="1"/>
      <protection hidden="1"/>
    </xf>
    <xf numFmtId="0" fontId="15" fillId="4" borderId="58" xfId="0" applyFont="1" applyFill="1" applyBorder="1" applyAlignment="1" applyProtection="1">
      <alignment horizontal="center" vertical="center"/>
      <protection hidden="1"/>
    </xf>
    <xf numFmtId="0" fontId="6" fillId="0" borderId="0"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protection hidden="1"/>
    </xf>
    <xf numFmtId="0" fontId="50" fillId="4" borderId="67" xfId="0" applyFont="1" applyFill="1" applyBorder="1" applyAlignment="1" applyProtection="1">
      <alignment horizontal="center" vertical="center"/>
      <protection hidden="1"/>
    </xf>
    <xf numFmtId="0" fontId="50" fillId="4" borderId="70" xfId="0" applyFont="1" applyFill="1" applyBorder="1" applyAlignment="1" applyProtection="1">
      <alignment horizontal="center" vertical="center"/>
      <protection hidden="1"/>
    </xf>
    <xf numFmtId="0" fontId="50" fillId="4" borderId="71" xfId="0" applyFont="1" applyFill="1" applyBorder="1" applyAlignment="1" applyProtection="1">
      <alignment horizontal="center" vertical="center"/>
      <protection hidden="1"/>
    </xf>
    <xf numFmtId="0" fontId="16" fillId="7" borderId="13" xfId="0" applyFont="1" applyFill="1" applyBorder="1" applyAlignment="1" applyProtection="1">
      <alignment horizontal="center" textRotation="90"/>
      <protection hidden="1"/>
    </xf>
    <xf numFmtId="0" fontId="16" fillId="3" borderId="74" xfId="0" applyFont="1" applyFill="1" applyBorder="1" applyAlignment="1" applyProtection="1">
      <alignment horizontal="center" textRotation="90" wrapText="1"/>
      <protection hidden="1"/>
    </xf>
    <xf numFmtId="0" fontId="16" fillId="4" borderId="78" xfId="0" applyFont="1" applyFill="1" applyBorder="1" applyAlignment="1" applyProtection="1">
      <alignment horizontal="center" textRotation="90" wrapText="1"/>
      <protection hidden="1"/>
    </xf>
    <xf numFmtId="0" fontId="6" fillId="4" borderId="58" xfId="0" applyFont="1" applyFill="1" applyBorder="1" applyAlignment="1" applyProtection="1">
      <alignment horizontal="center" textRotation="90"/>
      <protection hidden="1"/>
    </xf>
    <xf numFmtId="0" fontId="6" fillId="4" borderId="66" xfId="0" applyFont="1" applyFill="1" applyBorder="1" applyAlignment="1" applyProtection="1">
      <alignment horizontal="center" textRotation="90"/>
      <protection hidden="1"/>
    </xf>
    <xf numFmtId="0" fontId="16" fillId="4" borderId="72" xfId="0" applyFont="1" applyFill="1" applyBorder="1" applyAlignment="1" applyProtection="1">
      <alignment horizontal="center" textRotation="90"/>
      <protection hidden="1"/>
    </xf>
    <xf numFmtId="0" fontId="16" fillId="4" borderId="73" xfId="0" applyFont="1" applyFill="1" applyBorder="1" applyAlignment="1" applyProtection="1">
      <alignment horizontal="center" textRotation="90"/>
      <protection hidden="1"/>
    </xf>
    <xf numFmtId="0" fontId="24" fillId="2" borderId="68" xfId="0" applyFont="1" applyFill="1" applyBorder="1" applyAlignment="1" applyProtection="1">
      <alignment horizontal="center" vertical="center"/>
      <protection hidden="1"/>
    </xf>
    <xf numFmtId="0" fontId="24" fillId="2" borderId="58" xfId="0" applyFont="1" applyFill="1" applyBorder="1" applyAlignment="1" applyProtection="1">
      <alignment horizontal="center" vertical="center"/>
      <protection hidden="1"/>
    </xf>
    <xf numFmtId="0" fontId="16" fillId="7" borderId="13" xfId="0" applyFont="1" applyFill="1" applyBorder="1" applyAlignment="1" applyProtection="1">
      <alignment horizontal="center" textRotation="90" wrapText="1"/>
      <protection hidden="1"/>
    </xf>
    <xf numFmtId="0" fontId="7" fillId="0" borderId="0" xfId="0" applyFont="1" applyFill="1" applyBorder="1" applyAlignment="1" applyProtection="1">
      <alignment horizontal="center" vertical="center" wrapText="1"/>
      <protection hidden="1"/>
    </xf>
    <xf numFmtId="0" fontId="15" fillId="4" borderId="68" xfId="0" applyFont="1" applyFill="1" applyBorder="1" applyAlignment="1" applyProtection="1">
      <alignment horizontal="center" vertical="center" wrapText="1"/>
      <protection hidden="1"/>
    </xf>
    <xf numFmtId="0" fontId="15" fillId="4" borderId="69" xfId="0" applyFont="1" applyFill="1" applyBorder="1" applyAlignment="1" applyProtection="1">
      <alignment horizontal="center" vertical="center" wrapText="1"/>
      <protection hidden="1"/>
    </xf>
    <xf numFmtId="0" fontId="7" fillId="4" borderId="58" xfId="0" applyFont="1" applyFill="1" applyBorder="1" applyAlignment="1" applyProtection="1">
      <alignment horizontal="center" vertical="center" wrapText="1"/>
      <protection hidden="1"/>
    </xf>
    <xf numFmtId="0" fontId="7" fillId="4" borderId="66" xfId="0" applyFont="1" applyFill="1" applyBorder="1" applyAlignment="1" applyProtection="1">
      <alignment horizontal="center" vertical="center" wrapText="1"/>
      <protection hidden="1"/>
    </xf>
    <xf numFmtId="0" fontId="3" fillId="2" borderId="74" xfId="0" applyFont="1" applyFill="1" applyBorder="1" applyAlignment="1" applyProtection="1">
      <alignment horizontal="center" textRotation="90" wrapText="1"/>
      <protection hidden="1"/>
    </xf>
    <xf numFmtId="0" fontId="16" fillId="4" borderId="75" xfId="0" applyFont="1" applyFill="1" applyBorder="1" applyAlignment="1" applyProtection="1">
      <alignment horizontal="center" textRotation="90"/>
      <protection hidden="1"/>
    </xf>
    <xf numFmtId="0" fontId="16" fillId="4" borderId="78" xfId="0" applyFont="1" applyFill="1" applyBorder="1" applyAlignment="1" applyProtection="1">
      <alignment horizontal="center" textRotation="90"/>
      <protection hidden="1"/>
    </xf>
    <xf numFmtId="14" fontId="78" fillId="0" borderId="58" xfId="0" applyNumberFormat="1" applyFont="1" applyBorder="1" applyAlignment="1" applyProtection="1">
      <alignment horizontal="left" vertical="center"/>
      <protection hidden="1"/>
    </xf>
    <xf numFmtId="0" fontId="78" fillId="0" borderId="58" xfId="0" applyFont="1" applyBorder="1" applyAlignment="1" applyProtection="1">
      <alignment horizontal="left" vertical="center"/>
      <protection hidden="1"/>
    </xf>
    <xf numFmtId="0" fontId="78" fillId="0" borderId="72" xfId="0" applyFont="1" applyBorder="1" applyAlignment="1" applyProtection="1">
      <alignment horizontal="left" vertical="center"/>
      <protection hidden="1"/>
    </xf>
    <xf numFmtId="0" fontId="0" fillId="3" borderId="58" xfId="0" applyFill="1" applyBorder="1" applyAlignment="1" applyProtection="1">
      <alignment horizontal="left"/>
      <protection hidden="1"/>
    </xf>
    <xf numFmtId="0" fontId="0" fillId="0" borderId="58" xfId="0" applyBorder="1" applyAlignment="1" applyProtection="1">
      <alignment horizontal="center"/>
      <protection hidden="1"/>
    </xf>
    <xf numFmtId="0" fontId="0" fillId="0" borderId="72" xfId="0" applyBorder="1" applyAlignment="1" applyProtection="1">
      <alignment horizontal="center"/>
      <protection hidden="1"/>
    </xf>
    <xf numFmtId="0" fontId="0" fillId="3" borderId="69" xfId="0" applyFill="1" applyBorder="1" applyAlignment="1" applyProtection="1">
      <alignment horizontal="center"/>
      <protection hidden="1"/>
    </xf>
    <xf numFmtId="0" fontId="0" fillId="3" borderId="66" xfId="0" applyFill="1" applyBorder="1" applyAlignment="1" applyProtection="1">
      <alignment horizontal="center"/>
      <protection hidden="1"/>
    </xf>
    <xf numFmtId="0" fontId="0" fillId="0" borderId="66" xfId="0" applyBorder="1" applyAlignment="1" applyProtection="1">
      <alignment horizontal="center"/>
      <protection hidden="1"/>
    </xf>
    <xf numFmtId="0" fontId="0" fillId="0" borderId="73" xfId="0" applyBorder="1" applyAlignment="1" applyProtection="1">
      <alignment horizontal="center"/>
      <protection hidden="1"/>
    </xf>
    <xf numFmtId="0" fontId="0" fillId="4" borderId="0" xfId="0" applyFill="1" applyBorder="1" applyAlignment="1" applyProtection="1">
      <alignment horizontal="center"/>
      <protection hidden="1"/>
    </xf>
    <xf numFmtId="0" fontId="38" fillId="2" borderId="67" xfId="0" applyFont="1" applyFill="1" applyBorder="1" applyAlignment="1" applyProtection="1">
      <alignment horizontal="center"/>
      <protection hidden="1"/>
    </xf>
    <xf numFmtId="0" fontId="38" fillId="2" borderId="70" xfId="0" applyFont="1" applyFill="1" applyBorder="1" applyAlignment="1" applyProtection="1">
      <alignment horizontal="center"/>
      <protection hidden="1"/>
    </xf>
    <xf numFmtId="0" fontId="0" fillId="2" borderId="70" xfId="0" applyFill="1" applyBorder="1" applyAlignment="1" applyProtection="1">
      <alignment horizontal="center"/>
      <protection hidden="1"/>
    </xf>
    <xf numFmtId="0" fontId="0" fillId="2" borderId="71" xfId="0" applyFill="1" applyBorder="1" applyAlignment="1" applyProtection="1">
      <alignment horizontal="center"/>
      <protection hidden="1"/>
    </xf>
    <xf numFmtId="0" fontId="0" fillId="3" borderId="68" xfId="0" applyFill="1" applyBorder="1" applyAlignment="1" applyProtection="1">
      <alignment horizontal="center"/>
      <protection hidden="1"/>
    </xf>
    <xf numFmtId="0" fontId="0" fillId="3" borderId="58" xfId="0" applyFill="1" applyBorder="1" applyAlignment="1" applyProtection="1">
      <alignment horizontal="center"/>
      <protection hidden="1"/>
    </xf>
    <xf numFmtId="0" fontId="80" fillId="10" borderId="0" xfId="0" applyFont="1" applyFill="1" applyAlignment="1" applyProtection="1">
      <alignment horizontal="center" vertical="center"/>
      <protection locked="0" hidden="1"/>
    </xf>
    <xf numFmtId="0" fontId="81" fillId="3" borderId="0" xfId="0" applyFont="1" applyFill="1" applyAlignment="1" applyProtection="1">
      <alignment horizontal="center" vertical="center"/>
      <protection hidden="1"/>
    </xf>
    <xf numFmtId="0" fontId="0" fillId="3" borderId="68" xfId="0" applyFill="1" applyBorder="1" applyAlignment="1" applyProtection="1">
      <alignment horizontal="center" vertical="center" wrapText="1"/>
      <protection hidden="1"/>
    </xf>
    <xf numFmtId="0" fontId="0" fillId="3" borderId="58" xfId="0" applyFill="1" applyBorder="1" applyAlignment="1" applyProtection="1">
      <alignment horizontal="center" vertical="center" wrapText="1"/>
      <protection hidden="1"/>
    </xf>
    <xf numFmtId="0" fontId="0" fillId="0" borderId="58" xfId="0" applyFill="1" applyBorder="1" applyAlignment="1" applyProtection="1">
      <alignment horizontal="center" vertical="center" wrapText="1"/>
      <protection hidden="1"/>
    </xf>
    <xf numFmtId="0" fontId="82" fillId="0" borderId="133" xfId="0" applyFont="1" applyFill="1" applyBorder="1" applyAlignment="1" applyProtection="1">
      <alignment horizontal="left" vertical="center" wrapText="1"/>
      <protection hidden="1"/>
    </xf>
    <xf numFmtId="0" fontId="82" fillId="0" borderId="8" xfId="0" applyFont="1" applyFill="1" applyBorder="1" applyAlignment="1" applyProtection="1">
      <alignment horizontal="left" vertical="center" wrapText="1"/>
      <protection hidden="1"/>
    </xf>
    <xf numFmtId="0" fontId="82" fillId="0" borderId="11" xfId="0" applyFont="1" applyFill="1" applyBorder="1" applyAlignment="1" applyProtection="1">
      <alignment horizontal="left" vertical="center" wrapText="1"/>
      <protection hidden="1"/>
    </xf>
    <xf numFmtId="0" fontId="82" fillId="0" borderId="125" xfId="0" applyFont="1" applyFill="1" applyBorder="1" applyAlignment="1" applyProtection="1">
      <alignment horizontal="left" vertical="center" wrapText="1"/>
      <protection hidden="1"/>
    </xf>
    <xf numFmtId="0" fontId="82" fillId="0" borderId="118" xfId="0" applyFont="1" applyFill="1" applyBorder="1" applyAlignment="1" applyProtection="1">
      <alignment horizontal="left" vertical="center" wrapText="1"/>
      <protection hidden="1"/>
    </xf>
    <xf numFmtId="0" fontId="82" fillId="0" borderId="129" xfId="0" applyFont="1" applyFill="1" applyBorder="1" applyAlignment="1" applyProtection="1">
      <alignment horizontal="left" vertical="center" wrapText="1"/>
      <protection hidden="1"/>
    </xf>
    <xf numFmtId="0" fontId="71" fillId="2" borderId="70" xfId="0" applyFont="1" applyFill="1" applyBorder="1" applyAlignment="1" applyProtection="1">
      <alignment horizontal="center" vertical="center" wrapText="1"/>
      <protection hidden="1"/>
    </xf>
    <xf numFmtId="0" fontId="71" fillId="2" borderId="58" xfId="0" applyFont="1" applyFill="1" applyBorder="1" applyAlignment="1" applyProtection="1">
      <alignment horizontal="center" vertical="center" wrapText="1"/>
      <protection hidden="1"/>
    </xf>
    <xf numFmtId="0" fontId="71" fillId="2" borderId="71" xfId="0" applyFont="1" applyFill="1" applyBorder="1" applyAlignment="1" applyProtection="1">
      <alignment horizontal="center" vertical="center" wrapText="1"/>
      <protection hidden="1"/>
    </xf>
    <xf numFmtId="0" fontId="71" fillId="2" borderId="72" xfId="0" applyFont="1" applyFill="1" applyBorder="1" applyAlignment="1" applyProtection="1">
      <alignment horizontal="center" vertical="center" wrapText="1"/>
      <protection hidden="1"/>
    </xf>
    <xf numFmtId="0" fontId="0" fillId="0" borderId="123" xfId="0" applyFill="1" applyBorder="1" applyAlignment="1" applyProtection="1">
      <alignment horizontal="center" vertical="center" wrapText="1"/>
      <protection hidden="1"/>
    </xf>
    <xf numFmtId="0" fontId="0" fillId="0" borderId="114" xfId="0" applyFill="1" applyBorder="1" applyAlignment="1" applyProtection="1">
      <alignment horizontal="center" vertical="center" wrapText="1"/>
      <protection hidden="1"/>
    </xf>
    <xf numFmtId="0" fontId="0" fillId="0" borderId="115" xfId="0" applyFill="1" applyBorder="1" applyAlignment="1" applyProtection="1">
      <alignment horizontal="center" vertical="center" wrapText="1"/>
      <protection hidden="1"/>
    </xf>
    <xf numFmtId="0" fontId="0" fillId="0" borderId="125" xfId="0" applyFill="1" applyBorder="1" applyAlignment="1" applyProtection="1">
      <alignment horizontal="center" vertical="center" wrapText="1"/>
      <protection hidden="1"/>
    </xf>
    <xf numFmtId="0" fontId="0" fillId="0" borderId="118" xfId="0" applyFill="1" applyBorder="1" applyAlignment="1" applyProtection="1">
      <alignment horizontal="center" vertical="center" wrapText="1"/>
      <protection hidden="1"/>
    </xf>
    <xf numFmtId="0" fontId="0" fillId="0" borderId="119" xfId="0" applyFill="1" applyBorder="1" applyAlignment="1" applyProtection="1">
      <alignment horizontal="center" vertical="center" wrapText="1"/>
      <protection hidden="1"/>
    </xf>
    <xf numFmtId="0" fontId="83" fillId="0" borderId="70" xfId="0" applyFont="1" applyBorder="1" applyAlignment="1" applyProtection="1">
      <alignment horizontal="left" vertical="center"/>
      <protection hidden="1"/>
    </xf>
    <xf numFmtId="0" fontId="83" fillId="0" borderId="71" xfId="0" applyFont="1" applyBorder="1" applyAlignment="1" applyProtection="1">
      <alignment horizontal="left" vertical="center"/>
      <protection hidden="1"/>
    </xf>
    <xf numFmtId="0" fontId="0" fillId="3" borderId="70" xfId="0" applyFill="1" applyBorder="1" applyAlignment="1" applyProtection="1">
      <alignment horizontal="left"/>
      <protection hidden="1"/>
    </xf>
    <xf numFmtId="0" fontId="52" fillId="0" borderId="110" xfId="0" applyFont="1" applyBorder="1" applyAlignment="1" applyProtection="1">
      <alignment horizontal="center"/>
      <protection hidden="1"/>
    </xf>
    <xf numFmtId="0" fontId="0" fillId="4" borderId="2" xfId="0" applyFill="1" applyBorder="1" applyAlignment="1" applyProtection="1">
      <alignment horizontal="center" vertical="center"/>
      <protection hidden="1"/>
    </xf>
    <xf numFmtId="0" fontId="36" fillId="4" borderId="58" xfId="0" applyFont="1" applyFill="1" applyBorder="1" applyAlignment="1" applyProtection="1">
      <alignment horizontal="left" vertical="center" wrapText="1"/>
      <protection locked="0" hidden="1"/>
    </xf>
    <xf numFmtId="0" fontId="36" fillId="4" borderId="66" xfId="0" applyFont="1" applyFill="1" applyBorder="1" applyAlignment="1" applyProtection="1">
      <alignment horizontal="left" vertical="center" wrapText="1"/>
      <protection locked="0" hidden="1"/>
    </xf>
    <xf numFmtId="14" fontId="79" fillId="0" borderId="58" xfId="0" applyNumberFormat="1" applyFont="1" applyFill="1" applyBorder="1" applyAlignment="1" applyProtection="1">
      <alignment horizontal="center" vertical="center" wrapText="1"/>
      <protection hidden="1"/>
    </xf>
    <xf numFmtId="14" fontId="79" fillId="0" borderId="66" xfId="0" applyNumberFormat="1" applyFont="1" applyFill="1" applyBorder="1" applyAlignment="1" applyProtection="1">
      <alignment horizontal="center" vertical="center" wrapText="1"/>
      <protection hidden="1"/>
    </xf>
    <xf numFmtId="14" fontId="79" fillId="0" borderId="58" xfId="0" applyNumberFormat="1" applyFont="1" applyFill="1" applyBorder="1" applyAlignment="1" applyProtection="1">
      <alignment horizontal="center" vertical="center" wrapText="1"/>
      <protection locked="0" hidden="1"/>
    </xf>
    <xf numFmtId="14" fontId="79" fillId="0" borderId="72" xfId="0" applyNumberFormat="1" applyFont="1" applyFill="1" applyBorder="1" applyAlignment="1" applyProtection="1">
      <alignment horizontal="center" vertical="center" wrapText="1"/>
      <protection locked="0" hidden="1"/>
    </xf>
    <xf numFmtId="14" fontId="79" fillId="0" borderId="66" xfId="0" applyNumberFormat="1" applyFont="1" applyFill="1" applyBorder="1" applyAlignment="1" applyProtection="1">
      <alignment horizontal="center" vertical="center" wrapText="1"/>
      <protection locked="0" hidden="1"/>
    </xf>
    <xf numFmtId="14" fontId="79" fillId="0" borderId="73" xfId="0" applyNumberFormat="1" applyFont="1" applyFill="1" applyBorder="1" applyAlignment="1" applyProtection="1">
      <alignment horizontal="center" vertical="center" wrapText="1"/>
      <protection locked="0" hidden="1"/>
    </xf>
    <xf numFmtId="0" fontId="78" fillId="0" borderId="66" xfId="0" applyFont="1" applyBorder="1" applyAlignment="1" applyProtection="1">
      <alignment horizontal="left" vertical="center"/>
      <protection hidden="1"/>
    </xf>
    <xf numFmtId="0" fontId="78" fillId="0" borderId="73" xfId="0" applyFont="1" applyBorder="1" applyAlignment="1" applyProtection="1">
      <alignment horizontal="left" vertical="center"/>
      <protection hidden="1"/>
    </xf>
    <xf numFmtId="0" fontId="0" fillId="0" borderId="127" xfId="0" applyFill="1" applyBorder="1" applyAlignment="1" applyProtection="1">
      <alignment horizontal="center" vertical="center" wrapText="1"/>
      <protection hidden="1"/>
    </xf>
    <xf numFmtId="0" fontId="0" fillId="0" borderId="2" xfId="0" applyFill="1" applyBorder="1" applyAlignment="1" applyProtection="1">
      <alignment horizontal="center" vertical="center" wrapText="1"/>
      <protection hidden="1"/>
    </xf>
    <xf numFmtId="0" fontId="0" fillId="0" borderId="128" xfId="0" applyFill="1" applyBorder="1" applyAlignment="1" applyProtection="1">
      <alignment horizontal="center" vertical="center" wrapText="1"/>
      <protection hidden="1"/>
    </xf>
    <xf numFmtId="0" fontId="0" fillId="0" borderId="72" xfId="0" applyFill="1" applyBorder="1" applyAlignment="1" applyProtection="1">
      <alignment horizontal="center" vertical="center" wrapText="1"/>
      <protection hidden="1"/>
    </xf>
    <xf numFmtId="0" fontId="0" fillId="0" borderId="66" xfId="0" applyFill="1" applyBorder="1" applyAlignment="1" applyProtection="1">
      <alignment horizontal="center" vertical="center" wrapText="1"/>
      <protection hidden="1"/>
    </xf>
    <xf numFmtId="0" fontId="0" fillId="0" borderId="73" xfId="0" applyFill="1" applyBorder="1" applyAlignment="1" applyProtection="1">
      <alignment horizontal="center" vertical="center" wrapText="1"/>
      <protection hidden="1"/>
    </xf>
    <xf numFmtId="0" fontId="71" fillId="2" borderId="67" xfId="0" applyFont="1" applyFill="1" applyBorder="1" applyAlignment="1" applyProtection="1">
      <alignment horizontal="center" vertical="center" wrapText="1"/>
      <protection hidden="1"/>
    </xf>
    <xf numFmtId="0" fontId="71" fillId="2" borderId="68" xfId="0" applyFont="1" applyFill="1" applyBorder="1" applyAlignment="1" applyProtection="1">
      <alignment horizontal="center" vertical="center" wrapText="1"/>
      <protection hidden="1"/>
    </xf>
    <xf numFmtId="0" fontId="0" fillId="3" borderId="66" xfId="0" applyFill="1" applyBorder="1" applyAlignment="1" applyProtection="1">
      <alignment horizontal="left"/>
      <protection hidden="1"/>
    </xf>
    <xf numFmtId="0" fontId="0" fillId="0" borderId="126" xfId="0" applyFill="1" applyBorder="1" applyAlignment="1" applyProtection="1">
      <alignment horizontal="center" vertical="center" wrapText="1"/>
      <protection hidden="1"/>
    </xf>
    <xf numFmtId="0" fontId="0" fillId="0" borderId="129" xfId="0" applyFill="1" applyBorder="1" applyAlignment="1" applyProtection="1">
      <alignment horizontal="center" vertical="center" wrapText="1"/>
      <protection hidden="1"/>
    </xf>
    <xf numFmtId="0" fontId="0" fillId="3" borderId="113" xfId="0" applyFill="1" applyBorder="1" applyAlignment="1" applyProtection="1">
      <alignment horizontal="center" vertical="center" wrapText="1"/>
      <protection hidden="1"/>
    </xf>
    <xf numFmtId="0" fontId="0" fillId="3" borderId="115" xfId="0" applyFill="1" applyBorder="1" applyAlignment="1" applyProtection="1">
      <alignment horizontal="center" vertical="center" wrapText="1"/>
      <protection hidden="1"/>
    </xf>
    <xf numFmtId="0" fontId="0" fillId="3" borderId="117" xfId="0" applyFill="1" applyBorder="1" applyAlignment="1" applyProtection="1">
      <alignment horizontal="center" vertical="center" wrapText="1"/>
      <protection hidden="1"/>
    </xf>
    <xf numFmtId="0" fontId="0" fillId="3" borderId="119" xfId="0" applyFill="1" applyBorder="1" applyAlignment="1" applyProtection="1">
      <alignment horizontal="center" vertical="center" wrapText="1"/>
      <protection hidden="1"/>
    </xf>
    <xf numFmtId="14" fontId="0" fillId="0" borderId="123" xfId="0" applyNumberFormat="1" applyFill="1" applyBorder="1" applyAlignment="1" applyProtection="1">
      <alignment horizontal="center" vertical="center" wrapText="1"/>
      <protection hidden="1"/>
    </xf>
    <xf numFmtId="14" fontId="0" fillId="0" borderId="114" xfId="0" applyNumberFormat="1" applyFill="1" applyBorder="1" applyAlignment="1" applyProtection="1">
      <alignment horizontal="center" vertical="center" wrapText="1"/>
      <protection hidden="1"/>
    </xf>
    <xf numFmtId="14" fontId="0" fillId="0" borderId="115" xfId="0" applyNumberFormat="1" applyFill="1" applyBorder="1" applyAlignment="1" applyProtection="1">
      <alignment horizontal="center" vertical="center" wrapText="1"/>
      <protection hidden="1"/>
    </xf>
    <xf numFmtId="14" fontId="0" fillId="0" borderId="125" xfId="0" applyNumberFormat="1" applyFill="1" applyBorder="1" applyAlignment="1" applyProtection="1">
      <alignment horizontal="center" vertical="center" wrapText="1"/>
      <protection hidden="1"/>
    </xf>
    <xf numFmtId="14" fontId="0" fillId="0" borderId="118" xfId="0" applyNumberFormat="1" applyFill="1" applyBorder="1" applyAlignment="1" applyProtection="1">
      <alignment horizontal="center" vertical="center" wrapText="1"/>
      <protection hidden="1"/>
    </xf>
    <xf numFmtId="14" fontId="0" fillId="0" borderId="119" xfId="0" applyNumberFormat="1" applyFill="1" applyBorder="1" applyAlignment="1" applyProtection="1">
      <alignment horizontal="center" vertical="center" wrapText="1"/>
      <protection hidden="1"/>
    </xf>
    <xf numFmtId="0" fontId="0" fillId="3" borderId="114" xfId="0" applyFill="1" applyBorder="1" applyAlignment="1" applyProtection="1">
      <alignment horizontal="center" vertical="center" wrapText="1"/>
      <protection hidden="1"/>
    </xf>
    <xf numFmtId="0" fontId="0" fillId="3" borderId="4" xfId="0" applyFill="1" applyBorder="1" applyAlignment="1" applyProtection="1">
      <alignment horizontal="center" vertical="center" wrapText="1"/>
      <protection hidden="1"/>
    </xf>
    <xf numFmtId="0" fontId="0" fillId="3" borderId="0" xfId="0" applyFill="1" applyBorder="1" applyAlignment="1" applyProtection="1">
      <alignment horizontal="center" vertical="center" wrapText="1"/>
      <protection hidden="1"/>
    </xf>
    <xf numFmtId="0" fontId="0" fillId="3" borderId="116" xfId="0" applyFill="1" applyBorder="1" applyAlignment="1" applyProtection="1">
      <alignment horizontal="center" vertical="center" wrapText="1"/>
      <protection hidden="1"/>
    </xf>
    <xf numFmtId="0" fontId="0" fillId="3" borderId="118" xfId="0" applyFill="1" applyBorder="1" applyAlignment="1" applyProtection="1">
      <alignment horizontal="center" vertical="center" wrapText="1"/>
      <protection hidden="1"/>
    </xf>
    <xf numFmtId="0" fontId="0" fillId="0" borderId="120" xfId="0" applyFill="1" applyBorder="1" applyAlignment="1" applyProtection="1">
      <alignment horizontal="center" vertical="center"/>
      <protection hidden="1"/>
    </xf>
    <xf numFmtId="0" fontId="0" fillId="0" borderId="121" xfId="0" applyFill="1" applyBorder="1" applyAlignment="1" applyProtection="1">
      <alignment horizontal="center" vertical="center"/>
      <protection hidden="1"/>
    </xf>
    <xf numFmtId="0" fontId="0" fillId="0" borderId="122" xfId="0" applyFill="1" applyBorder="1" applyAlignment="1" applyProtection="1">
      <alignment horizontal="center" vertical="center"/>
      <protection hidden="1"/>
    </xf>
    <xf numFmtId="0" fontId="38" fillId="0" borderId="123" xfId="0" applyFont="1" applyFill="1" applyBorder="1" applyAlignment="1" applyProtection="1">
      <alignment horizontal="left" vertical="top"/>
      <protection hidden="1"/>
    </xf>
    <xf numFmtId="0" fontId="38" fillId="0" borderId="114" xfId="0" applyFont="1" applyFill="1" applyBorder="1" applyAlignment="1" applyProtection="1">
      <alignment horizontal="left" vertical="top"/>
      <protection hidden="1"/>
    </xf>
    <xf numFmtId="0" fontId="38" fillId="0" borderId="115" xfId="0" applyFont="1" applyFill="1" applyBorder="1" applyAlignment="1" applyProtection="1">
      <alignment horizontal="left" vertical="top"/>
      <protection hidden="1"/>
    </xf>
    <xf numFmtId="0" fontId="38" fillId="0" borderId="124" xfId="0" applyFont="1" applyFill="1" applyBorder="1" applyAlignment="1" applyProtection="1">
      <alignment horizontal="left" vertical="top"/>
      <protection hidden="1"/>
    </xf>
    <xf numFmtId="0" fontId="38" fillId="0" borderId="0" xfId="0" applyFont="1" applyFill="1" applyBorder="1" applyAlignment="1" applyProtection="1">
      <alignment horizontal="left" vertical="top"/>
      <protection hidden="1"/>
    </xf>
    <xf numFmtId="0" fontId="38" fillId="0" borderId="116" xfId="0" applyFont="1" applyFill="1" applyBorder="1" applyAlignment="1" applyProtection="1">
      <alignment horizontal="left" vertical="top"/>
      <protection hidden="1"/>
    </xf>
    <xf numFmtId="0" fontId="38" fillId="0" borderId="125" xfId="0" applyFont="1" applyFill="1" applyBorder="1" applyAlignment="1" applyProtection="1">
      <alignment horizontal="left" vertical="top"/>
      <protection hidden="1"/>
    </xf>
    <xf numFmtId="0" fontId="38" fillId="0" borderId="118" xfId="0" applyFont="1" applyFill="1" applyBorder="1" applyAlignment="1" applyProtection="1">
      <alignment horizontal="left" vertical="top"/>
      <protection hidden="1"/>
    </xf>
    <xf numFmtId="0" fontId="38" fillId="0" borderId="119" xfId="0" applyFont="1" applyFill="1" applyBorder="1" applyAlignment="1" applyProtection="1">
      <alignment horizontal="left" vertical="top"/>
      <protection hidden="1"/>
    </xf>
    <xf numFmtId="0" fontId="38" fillId="0" borderId="58" xfId="0" applyFont="1" applyFill="1" applyBorder="1" applyAlignment="1" applyProtection="1">
      <alignment horizontal="left" vertical="top"/>
      <protection hidden="1"/>
    </xf>
    <xf numFmtId="0" fontId="38" fillId="0" borderId="72" xfId="0" applyFont="1" applyFill="1" applyBorder="1" applyAlignment="1" applyProtection="1">
      <alignment horizontal="left" vertical="top"/>
      <protection hidden="1"/>
    </xf>
    <xf numFmtId="0" fontId="76" fillId="0" borderId="0" xfId="0" applyFont="1" applyFill="1" applyBorder="1" applyAlignment="1" applyProtection="1">
      <alignment horizontal="center" vertical="center"/>
      <protection hidden="1"/>
    </xf>
    <xf numFmtId="0" fontId="77" fillId="0" borderId="0" xfId="0" applyFont="1" applyAlignment="1" applyProtection="1">
      <alignment horizontal="center"/>
      <protection hidden="1"/>
    </xf>
    <xf numFmtId="0" fontId="0" fillId="0" borderId="58" xfId="0" applyFill="1" applyBorder="1" applyAlignment="1" applyProtection="1">
      <alignment horizontal="center" vertical="center"/>
      <protection hidden="1"/>
    </xf>
    <xf numFmtId="0" fontId="36" fillId="4" borderId="10" xfId="0" applyFont="1" applyFill="1" applyBorder="1" applyAlignment="1" applyProtection="1">
      <alignment horizontal="left" vertical="center" wrapText="1"/>
      <protection locked="0" hidden="1"/>
    </xf>
    <xf numFmtId="0" fontId="36" fillId="4" borderId="8" xfId="0" applyFont="1" applyFill="1" applyBorder="1" applyAlignment="1" applyProtection="1">
      <alignment horizontal="left" vertical="center" wrapText="1"/>
      <protection locked="0" hidden="1"/>
    </xf>
    <xf numFmtId="0" fontId="36" fillId="4" borderId="132" xfId="0" applyFont="1" applyFill="1" applyBorder="1" applyAlignment="1" applyProtection="1">
      <alignment horizontal="left" vertical="center" wrapText="1"/>
      <protection locked="0" hidden="1"/>
    </xf>
    <xf numFmtId="0" fontId="36" fillId="4" borderId="117" xfId="0" applyFont="1" applyFill="1" applyBorder="1" applyAlignment="1" applyProtection="1">
      <alignment horizontal="left" vertical="center" wrapText="1"/>
      <protection locked="0" hidden="1"/>
    </xf>
    <xf numFmtId="0" fontId="36" fillId="4" borderId="118" xfId="0" applyFont="1" applyFill="1" applyBorder="1" applyAlignment="1" applyProtection="1">
      <alignment horizontal="left" vertical="center" wrapText="1"/>
      <protection locked="0" hidden="1"/>
    </xf>
    <xf numFmtId="0" fontId="36" fillId="4" borderId="119" xfId="0" applyFont="1" applyFill="1" applyBorder="1" applyAlignment="1" applyProtection="1">
      <alignment horizontal="left" vertical="center" wrapText="1"/>
      <protection locked="0" hidden="1"/>
    </xf>
    <xf numFmtId="0" fontId="36" fillId="4" borderId="68" xfId="0" applyFont="1" applyFill="1" applyBorder="1" applyAlignment="1" applyProtection="1">
      <alignment horizontal="left" vertical="center" wrapText="1"/>
      <protection locked="0" hidden="1"/>
    </xf>
    <xf numFmtId="0" fontId="36" fillId="4" borderId="69" xfId="0" applyFont="1" applyFill="1" applyBorder="1" applyAlignment="1" applyProtection="1">
      <alignment horizontal="left" vertical="center" wrapText="1"/>
      <protection locked="0" hidden="1"/>
    </xf>
    <xf numFmtId="0" fontId="35" fillId="0" borderId="0" xfId="0" applyFont="1" applyFill="1" applyBorder="1" applyAlignment="1" applyProtection="1">
      <alignment horizontal="center" vertical="center"/>
      <protection hidden="1"/>
    </xf>
    <xf numFmtId="0" fontId="74" fillId="9" borderId="0" xfId="0" applyFont="1" applyFill="1" applyBorder="1" applyAlignment="1" applyProtection="1">
      <alignment horizontal="center" vertical="center"/>
      <protection hidden="1"/>
    </xf>
    <xf numFmtId="0" fontId="75" fillId="4" borderId="8" xfId="0" applyFont="1" applyFill="1" applyBorder="1" applyAlignment="1" applyProtection="1">
      <alignment horizontal="center" vertical="center"/>
      <protection locked="0" hidden="1"/>
    </xf>
    <xf numFmtId="0" fontId="75" fillId="4" borderId="0" xfId="0" applyFont="1" applyFill="1" applyBorder="1" applyAlignment="1" applyProtection="1">
      <alignment horizontal="center" vertical="center"/>
      <protection locked="0" hidden="1"/>
    </xf>
    <xf numFmtId="0" fontId="42" fillId="2" borderId="2" xfId="0" applyFont="1"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69" fillId="0" borderId="0" xfId="0" applyFont="1" applyBorder="1" applyAlignment="1" applyProtection="1">
      <alignment horizontal="center" vertical="center"/>
      <protection hidden="1"/>
    </xf>
    <xf numFmtId="0" fontId="0" fillId="3" borderId="69" xfId="0" applyFill="1" applyBorder="1" applyAlignment="1" applyProtection="1">
      <alignment horizontal="center" vertical="center" wrapText="1"/>
      <protection hidden="1"/>
    </xf>
    <xf numFmtId="0" fontId="0" fillId="3" borderId="66" xfId="0" applyFill="1" applyBorder="1" applyAlignment="1" applyProtection="1">
      <alignment horizontal="center" vertical="center" wrapText="1"/>
      <protection hidden="1"/>
    </xf>
    <xf numFmtId="0" fontId="0" fillId="0" borderId="131" xfId="0" applyFill="1" applyBorder="1" applyAlignment="1" applyProtection="1">
      <alignment horizontal="center" vertical="center"/>
      <protection hidden="1"/>
    </xf>
    <xf numFmtId="0" fontId="38" fillId="0" borderId="127" xfId="0" applyFont="1" applyFill="1" applyBorder="1" applyAlignment="1" applyProtection="1">
      <alignment horizontal="left" vertical="top"/>
      <protection hidden="1"/>
    </xf>
    <xf numFmtId="0" fontId="38" fillId="0" borderId="2" xfId="0" applyFont="1" applyFill="1" applyBorder="1" applyAlignment="1" applyProtection="1">
      <alignment horizontal="left" vertical="top"/>
      <protection hidden="1"/>
    </xf>
    <xf numFmtId="0" fontId="38" fillId="0" borderId="128" xfId="0" applyFont="1" applyFill="1" applyBorder="1" applyAlignment="1" applyProtection="1">
      <alignment horizontal="left" vertical="top"/>
      <protection hidden="1"/>
    </xf>
    <xf numFmtId="0" fontId="38" fillId="0" borderId="66" xfId="0" applyFont="1" applyFill="1" applyBorder="1" applyAlignment="1" applyProtection="1">
      <alignment horizontal="left" vertical="top"/>
      <protection hidden="1"/>
    </xf>
    <xf numFmtId="0" fontId="38" fillId="0" borderId="73" xfId="0" applyFont="1" applyFill="1" applyBorder="1" applyAlignment="1" applyProtection="1">
      <alignment horizontal="left" vertical="top"/>
      <protection hidden="1"/>
    </xf>
    <xf numFmtId="0" fontId="0" fillId="4" borderId="2" xfId="0" applyFill="1" applyBorder="1" applyAlignment="1" applyProtection="1">
      <alignment horizontal="center"/>
      <protection hidden="1"/>
    </xf>
    <xf numFmtId="0" fontId="0" fillId="3" borderId="1" xfId="0" applyFill="1" applyBorder="1" applyAlignment="1" applyProtection="1">
      <alignment horizontal="center" vertical="center" wrapText="1"/>
      <protection hidden="1"/>
    </xf>
    <xf numFmtId="0" fontId="0" fillId="3" borderId="2" xfId="0" applyFill="1" applyBorder="1" applyAlignment="1" applyProtection="1">
      <alignment horizontal="center" vertical="center" wrapText="1"/>
      <protection hidden="1"/>
    </xf>
    <xf numFmtId="0" fontId="0" fillId="3" borderId="128" xfId="0" applyFill="1" applyBorder="1" applyAlignment="1" applyProtection="1">
      <alignment horizontal="center" vertical="center" wrapText="1"/>
      <protection hidden="1"/>
    </xf>
    <xf numFmtId="0" fontId="73" fillId="0" borderId="0" xfId="0" applyFont="1" applyFill="1" applyBorder="1" applyAlignment="1" applyProtection="1">
      <alignment horizontal="center"/>
      <protection hidden="1"/>
    </xf>
    <xf numFmtId="0" fontId="53" fillId="2" borderId="10" xfId="0" applyFont="1" applyFill="1" applyBorder="1" applyAlignment="1" applyProtection="1">
      <alignment horizontal="center" vertical="center"/>
      <protection hidden="1"/>
    </xf>
    <xf numFmtId="0" fontId="53" fillId="2" borderId="8" xfId="0" applyFont="1" applyFill="1" applyBorder="1" applyAlignment="1" applyProtection="1">
      <alignment horizontal="center" vertical="center"/>
      <protection hidden="1"/>
    </xf>
    <xf numFmtId="0" fontId="72" fillId="2" borderId="8" xfId="0" applyFont="1" applyFill="1" applyBorder="1" applyAlignment="1" applyProtection="1">
      <alignment horizontal="center" vertical="center"/>
      <protection hidden="1"/>
    </xf>
    <xf numFmtId="0" fontId="72" fillId="2" borderId="11" xfId="0" applyFont="1" applyFill="1" applyBorder="1" applyAlignment="1" applyProtection="1">
      <alignment horizontal="center" vertical="center"/>
      <protection hidden="1"/>
    </xf>
    <xf numFmtId="0" fontId="53" fillId="2" borderId="130" xfId="0" applyFont="1" applyFill="1" applyBorder="1" applyAlignment="1" applyProtection="1">
      <alignment horizontal="center" vertical="center"/>
      <protection hidden="1"/>
    </xf>
    <xf numFmtId="0" fontId="53" fillId="2" borderId="111" xfId="0" applyFont="1" applyFill="1" applyBorder="1" applyAlignment="1" applyProtection="1">
      <alignment horizontal="center" vertical="center"/>
      <protection hidden="1"/>
    </xf>
    <xf numFmtId="0" fontId="72" fillId="2" borderId="111" xfId="0" applyFont="1" applyFill="1" applyBorder="1" applyAlignment="1" applyProtection="1">
      <alignment horizontal="center" vertical="center"/>
      <protection hidden="1"/>
    </xf>
    <xf numFmtId="0" fontId="72" fillId="2" borderId="112" xfId="0" applyFont="1" applyFill="1" applyBorder="1" applyAlignment="1" applyProtection="1">
      <alignment horizontal="center" vertical="center"/>
      <protection hidden="1"/>
    </xf>
    <xf numFmtId="0" fontId="38" fillId="0" borderId="126" xfId="0" applyFont="1" applyFill="1" applyBorder="1" applyAlignment="1" applyProtection="1">
      <alignment horizontal="left" vertical="top"/>
      <protection hidden="1"/>
    </xf>
    <xf numFmtId="0" fontId="38" fillId="0" borderId="9" xfId="0" applyFont="1" applyFill="1" applyBorder="1" applyAlignment="1" applyProtection="1">
      <alignment horizontal="left" vertical="top"/>
      <protection hidden="1"/>
    </xf>
    <xf numFmtId="0" fontId="38" fillId="0" borderId="129" xfId="0" applyFont="1" applyFill="1" applyBorder="1" applyAlignment="1" applyProtection="1">
      <alignment horizontal="left" vertical="top"/>
      <protection hidden="1"/>
    </xf>
    <xf numFmtId="0" fontId="0" fillId="0" borderId="3" xfId="0" applyFill="1" applyBorder="1" applyAlignment="1" applyProtection="1">
      <alignment horizontal="center" vertical="center" wrapText="1"/>
      <protection hidden="1"/>
    </xf>
    <xf numFmtId="14" fontId="0" fillId="0" borderId="127" xfId="0" applyNumberFormat="1" applyFill="1" applyBorder="1" applyAlignment="1" applyProtection="1">
      <alignment horizontal="center" vertical="center" wrapText="1"/>
      <protection hidden="1"/>
    </xf>
    <xf numFmtId="14" fontId="0" fillId="0" borderId="2" xfId="0" applyNumberFormat="1" applyFill="1" applyBorder="1" applyAlignment="1" applyProtection="1">
      <alignment horizontal="center" vertical="center" wrapText="1"/>
      <protection hidden="1"/>
    </xf>
    <xf numFmtId="14" fontId="0" fillId="0" borderId="128" xfId="0" applyNumberFormat="1" applyFill="1" applyBorder="1" applyAlignment="1" applyProtection="1">
      <alignment horizontal="center" vertical="center" wrapText="1"/>
      <protection hidden="1"/>
    </xf>
    <xf numFmtId="0" fontId="38" fillId="0" borderId="58" xfId="0" applyFont="1" applyFill="1" applyBorder="1" applyAlignment="1" applyProtection="1">
      <alignment horizontal="center" vertical="center" wrapText="1"/>
      <protection hidden="1"/>
    </xf>
    <xf numFmtId="0" fontId="38" fillId="0" borderId="58" xfId="0" applyFont="1" applyFill="1" applyBorder="1" applyAlignment="1" applyProtection="1">
      <alignment horizontal="left" vertical="top" wrapText="1"/>
      <protection hidden="1"/>
    </xf>
    <xf numFmtId="0" fontId="38" fillId="0" borderId="66" xfId="0" applyFont="1" applyFill="1" applyBorder="1" applyAlignment="1" applyProtection="1">
      <alignment horizontal="left" vertical="top" wrapText="1"/>
      <protection hidden="1"/>
    </xf>
    <xf numFmtId="0" fontId="38" fillId="0" borderId="66" xfId="0" applyFont="1" applyFill="1" applyBorder="1" applyAlignment="1" applyProtection="1">
      <alignment horizontal="center" vertical="center" wrapText="1"/>
      <protection hidden="1"/>
    </xf>
    <xf numFmtId="14" fontId="0" fillId="0" borderId="58" xfId="0" applyNumberFormat="1" applyFill="1" applyBorder="1" applyAlignment="1" applyProtection="1">
      <alignment horizontal="center" vertical="center" wrapText="1"/>
      <protection hidden="1"/>
    </xf>
    <xf numFmtId="0" fontId="71" fillId="0" borderId="58" xfId="0" applyFont="1" applyFill="1" applyBorder="1" applyAlignment="1" applyProtection="1">
      <alignment horizontal="center" vertical="center" wrapText="1"/>
      <protection hidden="1"/>
    </xf>
    <xf numFmtId="0" fontId="71" fillId="0" borderId="72" xfId="0" applyFont="1" applyFill="1" applyBorder="1" applyAlignment="1" applyProtection="1">
      <alignment horizontal="center" vertical="center" wrapText="1"/>
      <protection hidden="1"/>
    </xf>
    <xf numFmtId="0" fontId="70" fillId="3" borderId="70" xfId="0" applyFont="1" applyFill="1" applyBorder="1" applyAlignment="1" applyProtection="1">
      <alignment horizontal="center" vertical="center" wrapText="1"/>
      <protection hidden="1"/>
    </xf>
    <xf numFmtId="0" fontId="70" fillId="3" borderId="58" xfId="0" applyFont="1" applyFill="1" applyBorder="1" applyAlignment="1" applyProtection="1">
      <alignment horizontal="center" vertical="center" wrapText="1"/>
      <protection hidden="1"/>
    </xf>
    <xf numFmtId="0" fontId="71" fillId="0" borderId="70" xfId="0" applyFont="1" applyFill="1" applyBorder="1" applyAlignment="1" applyProtection="1">
      <alignment horizontal="center" vertical="center" wrapText="1"/>
      <protection hidden="1"/>
    </xf>
    <xf numFmtId="0" fontId="71" fillId="0" borderId="71" xfId="0" applyFont="1" applyFill="1" applyBorder="1" applyAlignment="1" applyProtection="1">
      <alignment horizontal="center" vertical="center" wrapText="1"/>
      <protection hidden="1"/>
    </xf>
    <xf numFmtId="0" fontId="71" fillId="2" borderId="69" xfId="0" applyFont="1" applyFill="1" applyBorder="1" applyAlignment="1" applyProtection="1">
      <alignment horizontal="center" vertical="center" wrapText="1"/>
      <protection hidden="1"/>
    </xf>
    <xf numFmtId="0" fontId="89" fillId="0" borderId="0" xfId="0" applyFont="1" applyAlignment="1" applyProtection="1">
      <alignment horizontal="center"/>
      <protection hidden="1"/>
    </xf>
  </cellXfs>
  <cellStyles count="3">
    <cellStyle name="Hyperlink" xfId="1" builtinId="8"/>
    <cellStyle name="Normal" xfId="0" builtinId="0"/>
    <cellStyle name="Percent" xfId="2" builtinId="5"/>
  </cellStyles>
  <dxfs count="54">
    <dxf>
      <font>
        <color theme="0" tint="-4.9989318521683403E-2"/>
      </font>
    </dxf>
    <dxf>
      <font>
        <color theme="0" tint="-4.9989318521683403E-2"/>
      </font>
    </dxf>
    <dxf>
      <font>
        <color theme="0" tint="-4.9989318521683403E-2"/>
      </font>
    </dxf>
    <dxf>
      <font>
        <condense val="0"/>
        <extend val="0"/>
        <color indexed="10"/>
      </font>
    </dxf>
    <dxf>
      <font>
        <color theme="0" tint="-4.9989318521683403E-2"/>
      </font>
    </dxf>
    <dxf>
      <font>
        <color theme="0"/>
      </font>
      <fill>
        <patternFill>
          <bgColor rgb="FFFF0000"/>
        </patternFill>
      </fill>
    </dxf>
    <dxf>
      <font>
        <color theme="0"/>
      </font>
      <fill>
        <patternFill>
          <bgColor rgb="FFFF0000"/>
        </patternFill>
      </fill>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rgb="FF34411B"/>
      </font>
    </dxf>
    <dxf>
      <font>
        <color theme="9" tint="-0.24994659260841701"/>
      </font>
    </dxf>
    <dxf>
      <font>
        <color rgb="FFFF0000"/>
      </font>
    </dxf>
    <dxf>
      <font>
        <color theme="9" tint="-0.24994659260841701"/>
      </font>
    </dxf>
    <dxf>
      <font>
        <color rgb="FFFF0000"/>
      </font>
    </dxf>
    <dxf>
      <font>
        <color theme="9" tint="-0.24994659260841701"/>
      </font>
    </dxf>
    <dxf>
      <font>
        <color rgb="FFFF0000"/>
      </font>
    </dxf>
    <dxf>
      <font>
        <color rgb="FF34411B"/>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shalasetu.co.in/index.php/schoolpro/about-schoolpr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3</xdr:col>
      <xdr:colOff>19050</xdr:colOff>
      <xdr:row>25</xdr:row>
      <xdr:rowOff>66675</xdr:rowOff>
    </xdr:to>
    <xdr:pic>
      <xdr:nvPicPr>
        <xdr:cNvPr id="2" name="Picture 1" descr="schoolpro banner 1.jpg">
          <a:hlinkClick xmlns:r="http://schemas.openxmlformats.org/officeDocument/2006/relationships" r:id="rId1"/>
        </xdr:cNvPr>
        <xdr:cNvPicPr>
          <a:picLocks noChangeAspect="1"/>
        </xdr:cNvPicPr>
      </xdr:nvPicPr>
      <xdr:blipFill>
        <a:blip xmlns:r="http://schemas.openxmlformats.org/officeDocument/2006/relationships" r:embed="rId2" cstate="print"/>
        <a:stretch>
          <a:fillRect/>
        </a:stretch>
      </xdr:blipFill>
      <xdr:spPr>
        <a:xfrm>
          <a:off x="0" y="4972050"/>
          <a:ext cx="9334500" cy="1971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219075</xdr:colOff>
      <xdr:row>4</xdr:row>
      <xdr:rowOff>0</xdr:rowOff>
    </xdr:from>
    <xdr:to>
      <xdr:col>15</xdr:col>
      <xdr:colOff>76200</xdr:colOff>
      <xdr:row>13</xdr:row>
      <xdr:rowOff>0</xdr:rowOff>
    </xdr:to>
    <xdr:pic>
      <xdr:nvPicPr>
        <xdr:cNvPr id="463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533650" y="2019300"/>
          <a:ext cx="1400175" cy="1714500"/>
        </a:xfrm>
        <a:prstGeom prst="rect">
          <a:avLst/>
        </a:prstGeom>
        <a:noFill/>
        <a:ln w="1">
          <a:noFill/>
          <a:miter lim="800000"/>
          <a:headEnd/>
          <a:tailEnd/>
        </a:ln>
      </xdr:spPr>
    </xdr:pic>
    <xdr:clientData/>
  </xdr:twoCellAnchor>
  <xdr:twoCellAnchor>
    <xdr:from>
      <xdr:col>0</xdr:col>
      <xdr:colOff>0</xdr:colOff>
      <xdr:row>37</xdr:row>
      <xdr:rowOff>28575</xdr:rowOff>
    </xdr:from>
    <xdr:to>
      <xdr:col>1</xdr:col>
      <xdr:colOff>0</xdr:colOff>
      <xdr:row>37</xdr:row>
      <xdr:rowOff>28575</xdr:rowOff>
    </xdr:to>
    <xdr:sp macro="" textlink="">
      <xdr:nvSpPr>
        <xdr:cNvPr id="3" name="WordArt 10"/>
        <xdr:cNvSpPr>
          <a:spLocks noChangeArrowheads="1" noChangeShapeType="1" noTextEdit="1"/>
        </xdr:cNvSpPr>
      </xdr:nvSpPr>
      <xdr:spPr bwMode="auto">
        <a:xfrm rot="16200000">
          <a:off x="304800" y="6772275"/>
          <a:ext cx="0" cy="609600"/>
        </a:xfrm>
        <a:prstGeom prst="rect">
          <a:avLst/>
        </a:prstGeom>
      </xdr:spPr>
      <xdr:txBody>
        <a:bodyPr wrap="none" fromWordArt="1">
          <a:prstTxWarp prst="textPlain">
            <a:avLst>
              <a:gd name="adj" fmla="val 50000"/>
            </a:avLst>
          </a:prstTxWarp>
        </a:bodyPr>
        <a:lstStyle/>
        <a:p>
          <a:pPr algn="ctr" rtl="0"/>
          <a:r>
            <a:rPr lang="en-US" sz="1200" kern="10" spc="0">
              <a:ln w="9525">
                <a:noFill/>
                <a:round/>
                <a:headEnd/>
                <a:tailEnd/>
              </a:ln>
              <a:solidFill>
                <a:srgbClr val="336699"/>
              </a:solidFill>
              <a:effectLst>
                <a:outerShdw dist="45791" dir="2021404" algn="ctr" rotWithShape="0">
                  <a:srgbClr val="B2B2B2">
                    <a:alpha val="80000"/>
                  </a:srgbClr>
                </a:outerShdw>
              </a:effectLst>
              <a:latin typeface="TERAFONT-BORDER-2"/>
            </a:rPr>
            <a:t>BBBBBBBBBBBBBBBBBBBBBBBBBBBBBB</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104775</xdr:colOff>
      <xdr:row>10</xdr:row>
      <xdr:rowOff>95250</xdr:rowOff>
    </xdr:from>
    <xdr:to>
      <xdr:col>14</xdr:col>
      <xdr:colOff>247650</xdr:colOff>
      <xdr:row>17</xdr:row>
      <xdr:rowOff>180975</xdr:rowOff>
    </xdr:to>
    <xdr:pic>
      <xdr:nvPicPr>
        <xdr:cNvPr id="729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66975" y="2333625"/>
          <a:ext cx="1209675" cy="155257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halasetu.co.in/index.php/schoolpro/about-schoolpro" TargetMode="External"/><Relationship Id="rId2" Type="http://schemas.openxmlformats.org/officeDocument/2006/relationships/hyperlink" Target="http://www.shalasetu.co.in/" TargetMode="External"/><Relationship Id="rId1" Type="http://schemas.openxmlformats.org/officeDocument/2006/relationships/hyperlink" Target="http://www.shalasetu.co.in/"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2060"/>
  </sheetPr>
  <dimension ref="A1:AC15"/>
  <sheetViews>
    <sheetView showGridLines="0" zoomScaleSheetLayoutView="90" workbookViewId="0">
      <selection activeCell="A11" sqref="A11:C11"/>
    </sheetView>
  </sheetViews>
  <sheetFormatPr defaultRowHeight="15"/>
  <cols>
    <col min="1" max="1" width="10.42578125" customWidth="1"/>
    <col min="2" max="2" width="60.5703125" customWidth="1"/>
    <col min="3" max="3" width="68.7109375" customWidth="1"/>
  </cols>
  <sheetData>
    <row r="1" spans="1:29" ht="32.25" customHeight="1">
      <c r="A1" s="321" t="s">
        <v>296</v>
      </c>
      <c r="B1" s="321"/>
      <c r="C1" s="321"/>
    </row>
    <row r="2" spans="1:29" ht="31.5" customHeight="1">
      <c r="A2" s="192">
        <v>1</v>
      </c>
      <c r="B2" s="193" t="s">
        <v>297</v>
      </c>
      <c r="C2" s="197" t="s">
        <v>302</v>
      </c>
    </row>
    <row r="3" spans="1:29" ht="31.5" customHeight="1">
      <c r="A3" s="192">
        <v>2</v>
      </c>
      <c r="B3" s="194" t="s">
        <v>298</v>
      </c>
      <c r="C3" s="198" t="s">
        <v>313</v>
      </c>
    </row>
    <row r="4" spans="1:29" ht="31.5" customHeight="1">
      <c r="A4" s="192">
        <v>3</v>
      </c>
      <c r="B4" s="194" t="s">
        <v>299</v>
      </c>
      <c r="C4" s="198" t="s">
        <v>304</v>
      </c>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row>
    <row r="5" spans="1:29" ht="31.5" customHeight="1">
      <c r="A5" s="192">
        <v>4</v>
      </c>
      <c r="B5" s="194" t="s">
        <v>300</v>
      </c>
      <c r="C5" s="198" t="s">
        <v>305</v>
      </c>
    </row>
    <row r="6" spans="1:29" ht="31.5" customHeight="1">
      <c r="A6" s="192">
        <v>5</v>
      </c>
      <c r="B6" s="194" t="s">
        <v>301</v>
      </c>
      <c r="C6" s="198" t="s">
        <v>306</v>
      </c>
    </row>
    <row r="7" spans="1:29" ht="31.5" customHeight="1">
      <c r="A7" s="192">
        <v>7</v>
      </c>
      <c r="B7" s="194" t="s">
        <v>303</v>
      </c>
      <c r="C7" s="198" t="s">
        <v>307</v>
      </c>
    </row>
    <row r="8" spans="1:29" ht="31.5" customHeight="1">
      <c r="A8" s="192">
        <v>8</v>
      </c>
      <c r="B8" s="194" t="s">
        <v>315</v>
      </c>
      <c r="C8" s="199" t="s">
        <v>308</v>
      </c>
    </row>
    <row r="10" spans="1:29" ht="16.5" customHeight="1">
      <c r="A10" s="322" t="s">
        <v>309</v>
      </c>
      <c r="B10" s="322"/>
      <c r="C10" s="322"/>
    </row>
    <row r="11" spans="1:29" ht="27.75" customHeight="1">
      <c r="A11" s="323" t="s">
        <v>311</v>
      </c>
      <c r="B11" s="323"/>
      <c r="C11" s="323"/>
    </row>
    <row r="12" spans="1:29" ht="24.75" customHeight="1">
      <c r="A12" s="324" t="s">
        <v>310</v>
      </c>
      <c r="B12" s="324"/>
      <c r="C12" s="324"/>
    </row>
    <row r="13" spans="1:29" ht="24.75" customHeight="1">
      <c r="A13" s="325" t="s">
        <v>316</v>
      </c>
      <c r="B13" s="325"/>
      <c r="C13" s="325"/>
    </row>
    <row r="15" spans="1:29" ht="27" customHeight="1">
      <c r="A15" s="320" t="s">
        <v>312</v>
      </c>
      <c r="B15" s="320"/>
      <c r="C15" s="320"/>
    </row>
  </sheetData>
  <sheetProtection password="CCF1" sheet="1" objects="1" scenarios="1"/>
  <mergeCells count="6">
    <mergeCell ref="A15:C15"/>
    <mergeCell ref="A1:C1"/>
    <mergeCell ref="A10:C10"/>
    <mergeCell ref="A11:C11"/>
    <mergeCell ref="A12:C12"/>
    <mergeCell ref="A13:C13"/>
  </mergeCells>
  <hyperlinks>
    <hyperlink ref="B2" location="SCHOOL!A1" display="શાળા અને વર્ગ માહિતી"/>
    <hyperlink ref="B3" location="STUDENTS!A1" display="વિદ્યાર્થી માહિતી"/>
    <hyperlink ref="B4" location="'A-RACHNATMAK'!A1" display="પરિશિષ્ટ A રચનાત્મક મૂલ્યાંકન"/>
    <hyperlink ref="B5" location="'B-VV'!A1" display="પરિશિષ્ટ B  વિકાસાત્મક મૂલ્યાંકન"/>
    <hyperlink ref="B6" location="'C-TITLE'!A1" display="પરિશિષ્ટ C  પરિણામ પત્રક મુખપૃષ્ઠ"/>
    <hyperlink ref="B7" location="'C-PARINAM'!A1" display="પરિશિષ્ટ C  પરિણામ પત્રક"/>
    <hyperlink ref="B8" location="'F-PRAGATIPATRAK'!A1" display="પરિશિષ્ટ F  સર્વગ્રાહી વિકાસાત્મક સંગૃહીત પ્રગતિપત્રક"/>
    <hyperlink ref="A13:C13" r:id="rId1" display="Published On: www.shalasetu.co.in"/>
    <hyperlink ref="A11:C11" r:id="rId2" display="NARESH K. DHAKECHA"/>
    <hyperlink ref="A15:C15" r:id="rId3" display="SchoolPro Primary By Naresh Dhakecha - A Primary school software"/>
  </hyperlinks>
  <pageMargins left="0.7" right="0.7" top="0.75" bottom="0.75" header="0.3" footer="0.3"/>
  <pageSetup paperSize="9" scale="63" orientation="portrait" horizontalDpi="300" verticalDpi="300" r:id="rId4"/>
  <drawing r:id="rId5"/>
</worksheet>
</file>

<file path=xl/worksheets/sheet2.xml><?xml version="1.0" encoding="utf-8"?>
<worksheet xmlns="http://schemas.openxmlformats.org/spreadsheetml/2006/main" xmlns:r="http://schemas.openxmlformats.org/officeDocument/2006/relationships">
  <sheetPr>
    <tabColor rgb="FF00B0F0"/>
  </sheetPr>
  <dimension ref="A1:D9"/>
  <sheetViews>
    <sheetView showGridLines="0" view="pageBreakPreview" zoomScaleSheetLayoutView="100" workbookViewId="0">
      <selection activeCell="D6" sqref="D6"/>
    </sheetView>
  </sheetViews>
  <sheetFormatPr defaultRowHeight="15"/>
  <cols>
    <col min="1" max="1" width="17.28515625" customWidth="1"/>
    <col min="2" max="2" width="47.7109375" customWidth="1"/>
    <col min="3" max="3" width="18.7109375" customWidth="1"/>
    <col min="4" max="4" width="33.140625" customWidth="1"/>
  </cols>
  <sheetData>
    <row r="1" spans="1:4" ht="31.5" customHeight="1">
      <c r="A1" s="326" t="s">
        <v>79</v>
      </c>
      <c r="B1" s="327"/>
      <c r="C1" s="326" t="s">
        <v>172</v>
      </c>
      <c r="D1" s="327"/>
    </row>
    <row r="2" spans="1:4" ht="30.75" customHeight="1">
      <c r="A2" s="40" t="s">
        <v>0</v>
      </c>
      <c r="B2" s="316" t="s">
        <v>320</v>
      </c>
      <c r="C2" s="40" t="s">
        <v>13</v>
      </c>
      <c r="D2" s="319">
        <v>6</v>
      </c>
    </row>
    <row r="3" spans="1:4" ht="30.75" customHeight="1">
      <c r="A3" s="41" t="s">
        <v>6</v>
      </c>
      <c r="B3" s="317" t="s">
        <v>321</v>
      </c>
      <c r="C3" s="41" t="s">
        <v>165</v>
      </c>
      <c r="D3" s="317" t="s">
        <v>169</v>
      </c>
    </row>
    <row r="4" spans="1:4" ht="30.75" customHeight="1">
      <c r="A4" s="41" t="s">
        <v>1</v>
      </c>
      <c r="B4" s="317" t="s">
        <v>321</v>
      </c>
      <c r="C4" s="41" t="s">
        <v>166</v>
      </c>
      <c r="D4" s="317" t="s">
        <v>170</v>
      </c>
    </row>
    <row r="5" spans="1:4" ht="30.75" customHeight="1">
      <c r="A5" s="41" t="s">
        <v>2</v>
      </c>
      <c r="B5" s="317" t="s">
        <v>321</v>
      </c>
      <c r="C5" s="41" t="s">
        <v>167</v>
      </c>
      <c r="D5" s="317" t="s">
        <v>171</v>
      </c>
    </row>
    <row r="6" spans="1:4" ht="30.75" customHeight="1">
      <c r="A6" s="41" t="s">
        <v>3</v>
      </c>
      <c r="B6" s="317"/>
      <c r="C6" s="41" t="s">
        <v>168</v>
      </c>
      <c r="D6" s="317"/>
    </row>
    <row r="7" spans="1:4" ht="30.75" customHeight="1">
      <c r="A7" s="41" t="s">
        <v>232</v>
      </c>
      <c r="B7" s="317" t="s">
        <v>322</v>
      </c>
      <c r="C7" s="41"/>
      <c r="D7" s="317"/>
    </row>
    <row r="8" spans="1:4" ht="30.75" customHeight="1">
      <c r="A8" s="41" t="s">
        <v>4</v>
      </c>
      <c r="B8" s="317" t="s">
        <v>323</v>
      </c>
      <c r="C8" s="41"/>
      <c r="D8" s="317"/>
    </row>
    <row r="9" spans="1:4" ht="30.75" customHeight="1">
      <c r="A9" s="42" t="s">
        <v>5</v>
      </c>
      <c r="B9" s="318" t="s">
        <v>324</v>
      </c>
      <c r="C9" s="42"/>
      <c r="D9" s="318"/>
    </row>
  </sheetData>
  <sheetProtection password="CCF1" sheet="1" objects="1" scenarios="1"/>
  <mergeCells count="2">
    <mergeCell ref="A1:B1"/>
    <mergeCell ref="C1:D1"/>
  </mergeCells>
  <pageMargins left="0.7" right="0.7" top="0.75" bottom="0.75" header="0.3" footer="0.3"/>
  <pageSetup paperSize="9" scale="76" orientation="portrait" horizontalDpi="4294967292" verticalDpi="300" r:id="rId1"/>
</worksheet>
</file>

<file path=xl/worksheets/sheet3.xml><?xml version="1.0" encoding="utf-8"?>
<worksheet xmlns="http://schemas.openxmlformats.org/spreadsheetml/2006/main" xmlns:r="http://schemas.openxmlformats.org/officeDocument/2006/relationships">
  <sheetPr>
    <tabColor rgb="FFFFC000"/>
  </sheetPr>
  <dimension ref="A1:BF423"/>
  <sheetViews>
    <sheetView showGridLines="0" workbookViewId="0">
      <pane xSplit="2" ySplit="3" topLeftCell="C382" activePane="bottomRight" state="frozen"/>
      <selection pane="topRight" activeCell="C1" sqref="C1"/>
      <selection pane="bottomLeft" activeCell="A5" sqref="A5"/>
      <selection pane="bottomRight" activeCell="D412" sqref="D412"/>
    </sheetView>
  </sheetViews>
  <sheetFormatPr defaultRowHeight="12.75"/>
  <cols>
    <col min="1" max="1" width="5.28515625" style="3" customWidth="1"/>
    <col min="2" max="2" width="14.28515625" style="3" customWidth="1"/>
    <col min="3" max="3" width="18.28515625" style="3" customWidth="1"/>
    <col min="4" max="4" width="22.42578125" style="3" customWidth="1"/>
    <col min="5" max="5" width="20.85546875" style="3" customWidth="1"/>
    <col min="6" max="6" width="25.140625" style="3" customWidth="1"/>
    <col min="7" max="7" width="6.5703125" style="147" customWidth="1"/>
    <col min="8" max="8" width="8.5703125" style="188" customWidth="1"/>
    <col min="9" max="10" width="9.140625" style="3"/>
    <col min="11" max="11" width="11.140625" style="3" customWidth="1"/>
    <col min="12" max="12" width="5.42578125" style="3" customWidth="1"/>
    <col min="13" max="14" width="19.5703125" style="3" customWidth="1"/>
    <col min="15" max="15" width="10" style="3" customWidth="1"/>
    <col min="16" max="16" width="5.5703125" style="3" customWidth="1"/>
    <col min="17" max="18" width="19.5703125" style="3" customWidth="1"/>
    <col min="19" max="19" width="11" style="3" customWidth="1"/>
    <col min="20" max="20" width="6" style="3" customWidth="1"/>
    <col min="21" max="22" width="19.5703125" style="3" customWidth="1"/>
    <col min="23" max="23" width="6.42578125" style="3" customWidth="1"/>
    <col min="24" max="24" width="14.28515625" style="3" customWidth="1"/>
    <col min="25" max="25" width="10.85546875" style="3" customWidth="1"/>
    <col min="26" max="26" width="9.140625" style="3"/>
    <col min="27" max="27" width="9.42578125" style="3" customWidth="1"/>
    <col min="28" max="28" width="9.140625" style="3"/>
    <col min="29" max="29" width="6.28515625" style="3" customWidth="1"/>
    <col min="30" max="31" width="9.140625" style="3"/>
    <col min="32" max="32" width="7.28515625" style="3" customWidth="1"/>
    <col min="33" max="33" width="7" style="3" customWidth="1"/>
    <col min="34" max="34" width="9.140625" style="3"/>
    <col min="35" max="35" width="7.5703125" style="3" customWidth="1"/>
    <col min="36" max="37" width="14.5703125" style="3" customWidth="1"/>
    <col min="38" max="38" width="7" style="3" customWidth="1"/>
    <col min="39" max="39" width="13.85546875" style="3" customWidth="1"/>
    <col min="40" max="40" width="21.140625" style="3" customWidth="1"/>
    <col min="41" max="43" width="9.140625" style="3"/>
    <col min="44" max="44" width="13.42578125" style="3" customWidth="1"/>
    <col min="45" max="45" width="21.140625" style="3" customWidth="1"/>
    <col min="46" max="46" width="9.140625" style="3"/>
    <col min="47" max="47" width="9.85546875" style="3" customWidth="1"/>
    <col min="48" max="16384" width="9.140625" style="3"/>
  </cols>
  <sheetData>
    <row r="1" spans="1:58" ht="55.5" customHeight="1">
      <c r="A1" s="333" t="s">
        <v>78</v>
      </c>
      <c r="B1" s="333"/>
      <c r="C1" s="328" t="s">
        <v>224</v>
      </c>
      <c r="D1" s="328"/>
      <c r="E1" s="328"/>
      <c r="F1" s="328"/>
      <c r="G1" s="328"/>
      <c r="H1" s="328"/>
      <c r="I1" s="328"/>
      <c r="AQ1" s="4"/>
    </row>
    <row r="2" spans="1:58" s="1" customFormat="1" ht="15" customHeight="1">
      <c r="A2" s="334" t="s">
        <v>66</v>
      </c>
      <c r="B2" s="334" t="s">
        <v>7</v>
      </c>
      <c r="C2" s="334" t="s">
        <v>8</v>
      </c>
      <c r="D2" s="334"/>
      <c r="E2" s="334" t="s">
        <v>9</v>
      </c>
      <c r="F2" s="347"/>
      <c r="G2" s="331" t="s">
        <v>10</v>
      </c>
      <c r="H2" s="332"/>
      <c r="I2" s="332"/>
      <c r="J2" s="332"/>
      <c r="K2" s="331" t="s">
        <v>17</v>
      </c>
      <c r="L2" s="332"/>
      <c r="M2" s="332"/>
      <c r="N2" s="352"/>
      <c r="O2" s="352" t="s">
        <v>22</v>
      </c>
      <c r="P2" s="335"/>
      <c r="Q2" s="335"/>
      <c r="R2" s="335"/>
      <c r="S2" s="335" t="s">
        <v>23</v>
      </c>
      <c r="T2" s="335"/>
      <c r="U2" s="335"/>
      <c r="V2" s="335"/>
      <c r="W2" s="335" t="s">
        <v>24</v>
      </c>
      <c r="X2" s="335"/>
      <c r="Y2" s="335"/>
      <c r="Z2" s="335"/>
      <c r="AA2" s="335"/>
      <c r="AB2" s="335"/>
      <c r="AC2" s="335" t="s">
        <v>29</v>
      </c>
      <c r="AD2" s="335"/>
      <c r="AE2" s="335"/>
      <c r="AF2" s="335"/>
      <c r="AG2" s="335"/>
      <c r="AH2" s="335"/>
      <c r="AI2" s="335" t="s">
        <v>33</v>
      </c>
      <c r="AJ2" s="335"/>
      <c r="AK2" s="335"/>
      <c r="AL2" s="336" t="s">
        <v>96</v>
      </c>
      <c r="AM2" s="348"/>
      <c r="AN2" s="348"/>
      <c r="AO2" s="348"/>
      <c r="AP2" s="349"/>
      <c r="AQ2" s="336" t="s">
        <v>96</v>
      </c>
      <c r="AR2" s="348"/>
      <c r="AS2" s="348"/>
      <c r="AT2" s="348"/>
      <c r="AU2" s="349"/>
    </row>
    <row r="3" spans="1:58" s="1" customFormat="1" ht="25.5">
      <c r="A3" s="334"/>
      <c r="B3" s="334"/>
      <c r="C3" s="335"/>
      <c r="D3" s="334"/>
      <c r="E3" s="335"/>
      <c r="F3" s="347"/>
      <c r="G3" s="8" t="s">
        <v>11</v>
      </c>
      <c r="H3" s="180" t="s">
        <v>75</v>
      </c>
      <c r="I3" s="6" t="s">
        <v>76</v>
      </c>
      <c r="J3" s="6" t="s">
        <v>77</v>
      </c>
      <c r="K3" s="8" t="s">
        <v>18</v>
      </c>
      <c r="L3" s="6" t="s">
        <v>19</v>
      </c>
      <c r="M3" s="6" t="s">
        <v>20</v>
      </c>
      <c r="N3" s="7" t="s">
        <v>21</v>
      </c>
      <c r="O3" s="5" t="s">
        <v>18</v>
      </c>
      <c r="P3" s="6" t="s">
        <v>19</v>
      </c>
      <c r="Q3" s="6" t="s">
        <v>20</v>
      </c>
      <c r="R3" s="7" t="s">
        <v>21</v>
      </c>
      <c r="S3" s="5" t="s">
        <v>18</v>
      </c>
      <c r="T3" s="6" t="s">
        <v>19</v>
      </c>
      <c r="U3" s="6" t="s">
        <v>20</v>
      </c>
      <c r="V3" s="7" t="s">
        <v>21</v>
      </c>
      <c r="W3" s="5" t="s">
        <v>13</v>
      </c>
      <c r="X3" s="6" t="s">
        <v>25</v>
      </c>
      <c r="Y3" s="6" t="s">
        <v>26</v>
      </c>
      <c r="Z3" s="6" t="s">
        <v>27</v>
      </c>
      <c r="AA3" s="6" t="s">
        <v>28</v>
      </c>
      <c r="AB3" s="7" t="s">
        <v>16</v>
      </c>
      <c r="AC3" s="5" t="s">
        <v>13</v>
      </c>
      <c r="AD3" s="6" t="s">
        <v>30</v>
      </c>
      <c r="AE3" s="6" t="s">
        <v>28</v>
      </c>
      <c r="AF3" s="6" t="s">
        <v>31</v>
      </c>
      <c r="AG3" s="6" t="s">
        <v>32</v>
      </c>
      <c r="AH3" s="7" t="s">
        <v>16</v>
      </c>
      <c r="AI3" s="5" t="s">
        <v>13</v>
      </c>
      <c r="AJ3" s="6" t="s">
        <v>34</v>
      </c>
      <c r="AK3" s="7" t="s">
        <v>35</v>
      </c>
      <c r="AL3" s="338"/>
      <c r="AM3" s="350"/>
      <c r="AN3" s="350"/>
      <c r="AO3" s="350"/>
      <c r="AP3" s="351"/>
      <c r="AQ3" s="338"/>
      <c r="AR3" s="350"/>
      <c r="AS3" s="350"/>
      <c r="AT3" s="350"/>
      <c r="AU3" s="351"/>
    </row>
    <row r="4" spans="1:58" s="2" customFormat="1" ht="16.5" customHeight="1">
      <c r="A4" s="329">
        <v>1</v>
      </c>
      <c r="B4" s="330" t="s">
        <v>249</v>
      </c>
      <c r="C4" s="14" t="s">
        <v>45</v>
      </c>
      <c r="D4" s="52">
        <v>1555</v>
      </c>
      <c r="E4" s="14" t="s">
        <v>46</v>
      </c>
      <c r="F4" s="17" t="s">
        <v>72</v>
      </c>
      <c r="G4" s="149">
        <v>6</v>
      </c>
      <c r="H4" s="181">
        <v>33</v>
      </c>
      <c r="I4" s="10">
        <v>133</v>
      </c>
      <c r="J4" s="26">
        <v>56</v>
      </c>
      <c r="K4" s="14" t="s">
        <v>54</v>
      </c>
      <c r="L4" s="9" t="s">
        <v>93</v>
      </c>
      <c r="M4" s="31" t="s">
        <v>94</v>
      </c>
      <c r="N4" s="32" t="s">
        <v>95</v>
      </c>
      <c r="O4" s="14" t="s">
        <v>54</v>
      </c>
      <c r="P4" s="9" t="s">
        <v>93</v>
      </c>
      <c r="Q4" s="31" t="s">
        <v>94</v>
      </c>
      <c r="R4" s="32" t="s">
        <v>95</v>
      </c>
      <c r="S4" s="14" t="s">
        <v>54</v>
      </c>
      <c r="T4" s="9" t="s">
        <v>93</v>
      </c>
      <c r="U4" s="31" t="s">
        <v>94</v>
      </c>
      <c r="V4" s="32" t="s">
        <v>95</v>
      </c>
      <c r="W4" s="353"/>
      <c r="X4" s="354"/>
      <c r="Y4" s="354"/>
      <c r="Z4" s="354"/>
      <c r="AA4" s="354"/>
      <c r="AB4" s="355"/>
      <c r="AC4" s="353"/>
      <c r="AD4" s="354"/>
      <c r="AE4" s="354"/>
      <c r="AF4" s="354"/>
      <c r="AG4" s="354"/>
      <c r="AH4" s="355"/>
      <c r="AI4" s="353">
        <v>6</v>
      </c>
      <c r="AJ4" s="354" t="s">
        <v>245</v>
      </c>
      <c r="AK4" s="355"/>
      <c r="AL4" s="336">
        <v>1</v>
      </c>
      <c r="AM4" s="53" t="s">
        <v>0</v>
      </c>
      <c r="AN4" s="339"/>
      <c r="AO4" s="340"/>
      <c r="AP4" s="341"/>
      <c r="AQ4" s="336">
        <v>3</v>
      </c>
      <c r="AR4" s="53" t="s">
        <v>0</v>
      </c>
      <c r="AS4" s="339"/>
      <c r="AT4" s="340"/>
      <c r="AU4" s="341"/>
    </row>
    <row r="5" spans="1:58" s="4" customFormat="1" ht="16.5" customHeight="1">
      <c r="A5" s="329"/>
      <c r="B5" s="330"/>
      <c r="C5" s="15" t="s">
        <v>36</v>
      </c>
      <c r="D5" s="19" t="s">
        <v>67</v>
      </c>
      <c r="E5" s="15" t="s">
        <v>73</v>
      </c>
      <c r="F5" s="18">
        <v>45</v>
      </c>
      <c r="G5" s="150">
        <v>7</v>
      </c>
      <c r="H5" s="182">
        <v>36</v>
      </c>
      <c r="I5" s="12">
        <v>140</v>
      </c>
      <c r="J5" s="27">
        <v>57</v>
      </c>
      <c r="K5" s="15" t="s">
        <v>55</v>
      </c>
      <c r="L5" s="11" t="s">
        <v>93</v>
      </c>
      <c r="M5" s="33" t="s">
        <v>94</v>
      </c>
      <c r="N5" s="34" t="s">
        <v>95</v>
      </c>
      <c r="O5" s="15" t="s">
        <v>55</v>
      </c>
      <c r="P5" s="11" t="s">
        <v>93</v>
      </c>
      <c r="Q5" s="33" t="s">
        <v>94</v>
      </c>
      <c r="R5" s="34" t="s">
        <v>95</v>
      </c>
      <c r="S5" s="15" t="s">
        <v>55</v>
      </c>
      <c r="T5" s="11" t="s">
        <v>93</v>
      </c>
      <c r="U5" s="33" t="s">
        <v>94</v>
      </c>
      <c r="V5" s="34" t="s">
        <v>95</v>
      </c>
      <c r="W5" s="346"/>
      <c r="X5" s="342"/>
      <c r="Y5" s="342"/>
      <c r="Z5" s="342"/>
      <c r="AA5" s="342"/>
      <c r="AB5" s="344"/>
      <c r="AC5" s="346"/>
      <c r="AD5" s="342"/>
      <c r="AE5" s="342"/>
      <c r="AF5" s="342"/>
      <c r="AG5" s="342"/>
      <c r="AH5" s="344"/>
      <c r="AI5" s="346"/>
      <c r="AJ5" s="342"/>
      <c r="AK5" s="344"/>
      <c r="AL5" s="337"/>
      <c r="AM5" s="54" t="s">
        <v>97</v>
      </c>
      <c r="AN5" s="176"/>
      <c r="AO5" s="54" t="s">
        <v>212</v>
      </c>
      <c r="AP5" s="178"/>
      <c r="AQ5" s="337"/>
      <c r="AR5" s="54" t="s">
        <v>97</v>
      </c>
      <c r="AS5" s="176"/>
      <c r="AT5" s="179" t="s">
        <v>212</v>
      </c>
      <c r="AU5" s="177"/>
    </row>
    <row r="6" spans="1:58" s="4" customFormat="1" ht="16.5" customHeight="1">
      <c r="A6" s="329"/>
      <c r="B6" s="330"/>
      <c r="C6" s="15" t="s">
        <v>37</v>
      </c>
      <c r="D6" s="20">
        <v>35170</v>
      </c>
      <c r="E6" s="15" t="s">
        <v>47</v>
      </c>
      <c r="F6" s="18" t="s">
        <v>23</v>
      </c>
      <c r="G6" s="150">
        <v>8</v>
      </c>
      <c r="H6" s="183">
        <v>40</v>
      </c>
      <c r="I6" s="13">
        <v>146</v>
      </c>
      <c r="J6" s="28">
        <v>59</v>
      </c>
      <c r="K6" s="15" t="s">
        <v>56</v>
      </c>
      <c r="L6" s="11" t="s">
        <v>93</v>
      </c>
      <c r="M6" s="33" t="s">
        <v>94</v>
      </c>
      <c r="N6" s="34" t="s">
        <v>95</v>
      </c>
      <c r="O6" s="15" t="s">
        <v>56</v>
      </c>
      <c r="P6" s="11" t="s">
        <v>93</v>
      </c>
      <c r="Q6" s="33" t="s">
        <v>94</v>
      </c>
      <c r="R6" s="34" t="s">
        <v>95</v>
      </c>
      <c r="S6" s="15" t="s">
        <v>56</v>
      </c>
      <c r="T6" s="11" t="s">
        <v>93</v>
      </c>
      <c r="U6" s="33" t="s">
        <v>94</v>
      </c>
      <c r="V6" s="34" t="s">
        <v>95</v>
      </c>
      <c r="W6" s="346"/>
      <c r="X6" s="342"/>
      <c r="Y6" s="342"/>
      <c r="Z6" s="342"/>
      <c r="AA6" s="342"/>
      <c r="AB6" s="344"/>
      <c r="AC6" s="346"/>
      <c r="AD6" s="342"/>
      <c r="AE6" s="342"/>
      <c r="AF6" s="342"/>
      <c r="AG6" s="342"/>
      <c r="AH6" s="344"/>
      <c r="AI6" s="346"/>
      <c r="AJ6" s="342"/>
      <c r="AK6" s="344"/>
      <c r="AL6" s="337"/>
      <c r="AM6" s="54" t="s">
        <v>98</v>
      </c>
      <c r="AN6" s="56"/>
      <c r="AO6" s="54" t="s">
        <v>13</v>
      </c>
      <c r="AP6" s="59"/>
      <c r="AQ6" s="337"/>
      <c r="AR6" s="54" t="s">
        <v>98</v>
      </c>
      <c r="AS6" s="56"/>
      <c r="AT6" s="54" t="s">
        <v>13</v>
      </c>
      <c r="AU6" s="59"/>
      <c r="BF6" s="4" t="s">
        <v>67</v>
      </c>
    </row>
    <row r="7" spans="1:58" s="4" customFormat="1" ht="16.5" customHeight="1">
      <c r="A7" s="329"/>
      <c r="B7" s="330"/>
      <c r="C7" s="15" t="s">
        <v>44</v>
      </c>
      <c r="D7" s="19" t="s">
        <v>69</v>
      </c>
      <c r="E7" s="15" t="s">
        <v>65</v>
      </c>
      <c r="F7" s="18" t="s">
        <v>74</v>
      </c>
      <c r="G7" s="153"/>
      <c r="H7" s="184"/>
      <c r="I7" s="23"/>
      <c r="J7" s="23"/>
      <c r="K7" s="15" t="s">
        <v>57</v>
      </c>
      <c r="L7" s="11" t="s">
        <v>93</v>
      </c>
      <c r="M7" s="33" t="s">
        <v>94</v>
      </c>
      <c r="N7" s="34" t="s">
        <v>95</v>
      </c>
      <c r="O7" s="15" t="s">
        <v>57</v>
      </c>
      <c r="P7" s="11" t="s">
        <v>93</v>
      </c>
      <c r="Q7" s="33" t="s">
        <v>94</v>
      </c>
      <c r="R7" s="34" t="s">
        <v>95</v>
      </c>
      <c r="S7" s="15" t="s">
        <v>57</v>
      </c>
      <c r="T7" s="11" t="s">
        <v>93</v>
      </c>
      <c r="U7" s="33" t="s">
        <v>94</v>
      </c>
      <c r="V7" s="34" t="s">
        <v>95</v>
      </c>
      <c r="W7" s="346"/>
      <c r="X7" s="342"/>
      <c r="Y7" s="342"/>
      <c r="Z7" s="342"/>
      <c r="AA7" s="342"/>
      <c r="AB7" s="344"/>
      <c r="AC7" s="346"/>
      <c r="AD7" s="342"/>
      <c r="AE7" s="342"/>
      <c r="AF7" s="342"/>
      <c r="AG7" s="342"/>
      <c r="AH7" s="344"/>
      <c r="AI7" s="346">
        <v>7</v>
      </c>
      <c r="AJ7" s="342"/>
      <c r="AK7" s="344" t="s">
        <v>246</v>
      </c>
      <c r="AL7" s="337"/>
      <c r="AM7" s="54" t="s">
        <v>99</v>
      </c>
      <c r="AN7" s="57"/>
      <c r="AO7" s="54" t="s">
        <v>13</v>
      </c>
      <c r="AP7" s="60"/>
      <c r="AQ7" s="337"/>
      <c r="AR7" s="54" t="s">
        <v>99</v>
      </c>
      <c r="AS7" s="57"/>
      <c r="AT7" s="54" t="s">
        <v>13</v>
      </c>
      <c r="AU7" s="60"/>
      <c r="BF7" s="4" t="s">
        <v>68</v>
      </c>
    </row>
    <row r="8" spans="1:58" s="4" customFormat="1" ht="16.5" customHeight="1">
      <c r="A8" s="329"/>
      <c r="B8" s="330"/>
      <c r="C8" s="15" t="s">
        <v>229</v>
      </c>
      <c r="E8" s="15" t="s">
        <v>48</v>
      </c>
      <c r="F8" s="18"/>
      <c r="G8" s="331" t="s">
        <v>12</v>
      </c>
      <c r="H8" s="332"/>
      <c r="I8" s="332"/>
      <c r="J8" s="332"/>
      <c r="K8" s="15" t="s">
        <v>58</v>
      </c>
      <c r="L8" s="11" t="s">
        <v>93</v>
      </c>
      <c r="M8" s="33" t="s">
        <v>94</v>
      </c>
      <c r="N8" s="34" t="s">
        <v>95</v>
      </c>
      <c r="O8" s="15" t="s">
        <v>58</v>
      </c>
      <c r="P8" s="11" t="s">
        <v>93</v>
      </c>
      <c r="Q8" s="33" t="s">
        <v>94</v>
      </c>
      <c r="R8" s="34" t="s">
        <v>95</v>
      </c>
      <c r="S8" s="15" t="s">
        <v>58</v>
      </c>
      <c r="T8" s="11" t="s">
        <v>93</v>
      </c>
      <c r="U8" s="33" t="s">
        <v>94</v>
      </c>
      <c r="V8" s="34" t="s">
        <v>95</v>
      </c>
      <c r="W8" s="346"/>
      <c r="X8" s="342"/>
      <c r="Y8" s="342"/>
      <c r="Z8" s="342"/>
      <c r="AA8" s="342"/>
      <c r="AB8" s="344"/>
      <c r="AC8" s="346"/>
      <c r="AD8" s="342"/>
      <c r="AE8" s="342"/>
      <c r="AF8" s="342"/>
      <c r="AG8" s="342"/>
      <c r="AH8" s="344"/>
      <c r="AI8" s="346"/>
      <c r="AJ8" s="342"/>
      <c r="AK8" s="344"/>
      <c r="AL8" s="338"/>
      <c r="AM8" s="55" t="s">
        <v>100</v>
      </c>
      <c r="AN8" s="58"/>
      <c r="AO8" s="55" t="s">
        <v>101</v>
      </c>
      <c r="AP8" s="61"/>
      <c r="AQ8" s="338"/>
      <c r="AR8" s="55" t="s">
        <v>100</v>
      </c>
      <c r="AS8" s="58"/>
      <c r="AT8" s="55" t="s">
        <v>101</v>
      </c>
      <c r="AU8" s="61"/>
      <c r="BF8" s="4" t="s">
        <v>188</v>
      </c>
    </row>
    <row r="9" spans="1:58" s="4" customFormat="1" ht="21" customHeight="1">
      <c r="A9" s="329"/>
      <c r="B9" s="330"/>
      <c r="C9" s="15" t="s">
        <v>38</v>
      </c>
      <c r="D9" s="19" t="s">
        <v>70</v>
      </c>
      <c r="E9" s="15" t="s">
        <v>49</v>
      </c>
      <c r="F9" s="18"/>
      <c r="G9" s="8" t="s">
        <v>13</v>
      </c>
      <c r="H9" s="180" t="s">
        <v>14</v>
      </c>
      <c r="I9" s="6" t="s">
        <v>15</v>
      </c>
      <c r="J9" s="6" t="s">
        <v>16</v>
      </c>
      <c r="K9" s="15" t="s">
        <v>59</v>
      </c>
      <c r="L9" s="11" t="s">
        <v>93</v>
      </c>
      <c r="M9" s="33" t="s">
        <v>94</v>
      </c>
      <c r="N9" s="34" t="s">
        <v>95</v>
      </c>
      <c r="O9" s="15" t="s">
        <v>59</v>
      </c>
      <c r="P9" s="11" t="s">
        <v>93</v>
      </c>
      <c r="Q9" s="33" t="s">
        <v>94</v>
      </c>
      <c r="R9" s="34" t="s">
        <v>95</v>
      </c>
      <c r="S9" s="15" t="s">
        <v>59</v>
      </c>
      <c r="T9" s="11" t="s">
        <v>93</v>
      </c>
      <c r="U9" s="33" t="s">
        <v>94</v>
      </c>
      <c r="V9" s="34" t="s">
        <v>95</v>
      </c>
      <c r="W9" s="346"/>
      <c r="X9" s="342"/>
      <c r="Y9" s="342"/>
      <c r="Z9" s="342"/>
      <c r="AA9" s="342"/>
      <c r="AB9" s="344"/>
      <c r="AC9" s="346"/>
      <c r="AD9" s="342"/>
      <c r="AE9" s="342"/>
      <c r="AF9" s="342"/>
      <c r="AG9" s="342"/>
      <c r="AH9" s="344"/>
      <c r="AI9" s="346"/>
      <c r="AJ9" s="342"/>
      <c r="AK9" s="344"/>
      <c r="AL9" s="336">
        <v>2</v>
      </c>
      <c r="AM9" s="53" t="s">
        <v>0</v>
      </c>
      <c r="AN9" s="339"/>
      <c r="AO9" s="340"/>
      <c r="AP9" s="341"/>
      <c r="AQ9" s="336">
        <v>4</v>
      </c>
      <c r="AR9" s="53" t="s">
        <v>0</v>
      </c>
      <c r="AS9" s="339"/>
      <c r="AT9" s="340"/>
      <c r="AU9" s="341"/>
      <c r="BF9" s="4" t="s">
        <v>187</v>
      </c>
    </row>
    <row r="10" spans="1:58" s="4" customFormat="1" ht="16.5" customHeight="1">
      <c r="A10" s="329"/>
      <c r="B10" s="330"/>
      <c r="C10" s="15" t="s">
        <v>39</v>
      </c>
      <c r="D10" s="19" t="s">
        <v>71</v>
      </c>
      <c r="E10" s="15" t="s">
        <v>50</v>
      </c>
      <c r="F10" s="18"/>
      <c r="G10" s="151">
        <v>6</v>
      </c>
      <c r="H10" s="181">
        <v>231</v>
      </c>
      <c r="I10" s="10">
        <v>211</v>
      </c>
      <c r="J10" s="26"/>
      <c r="K10" s="15" t="s">
        <v>60</v>
      </c>
      <c r="L10" s="11" t="s">
        <v>93</v>
      </c>
      <c r="M10" s="33" t="s">
        <v>94</v>
      </c>
      <c r="N10" s="34" t="s">
        <v>95</v>
      </c>
      <c r="O10" s="15" t="s">
        <v>60</v>
      </c>
      <c r="P10" s="11" t="s">
        <v>93</v>
      </c>
      <c r="Q10" s="33" t="s">
        <v>94</v>
      </c>
      <c r="R10" s="34" t="s">
        <v>95</v>
      </c>
      <c r="S10" s="15" t="s">
        <v>60</v>
      </c>
      <c r="T10" s="11" t="s">
        <v>93</v>
      </c>
      <c r="U10" s="33" t="s">
        <v>94</v>
      </c>
      <c r="V10" s="34" t="s">
        <v>95</v>
      </c>
      <c r="W10" s="346"/>
      <c r="X10" s="342"/>
      <c r="Y10" s="342"/>
      <c r="Z10" s="342"/>
      <c r="AA10" s="342"/>
      <c r="AB10" s="344"/>
      <c r="AC10" s="346"/>
      <c r="AD10" s="342"/>
      <c r="AE10" s="342"/>
      <c r="AF10" s="342"/>
      <c r="AG10" s="342"/>
      <c r="AH10" s="344"/>
      <c r="AI10" s="346">
        <v>8</v>
      </c>
      <c r="AJ10" s="342"/>
      <c r="AK10" s="344"/>
      <c r="AL10" s="337"/>
      <c r="AM10" s="54" t="s">
        <v>97</v>
      </c>
      <c r="AN10" s="176"/>
      <c r="AO10" s="179" t="s">
        <v>212</v>
      </c>
      <c r="AP10" s="177"/>
      <c r="AQ10" s="337"/>
      <c r="AR10" s="54" t="s">
        <v>97</v>
      </c>
      <c r="AS10" s="176"/>
      <c r="AT10" s="179" t="s">
        <v>212</v>
      </c>
      <c r="AU10" s="177"/>
      <c r="BF10" s="4" t="s">
        <v>186</v>
      </c>
    </row>
    <row r="11" spans="1:58" s="4" customFormat="1" ht="16.5" customHeight="1">
      <c r="A11" s="329"/>
      <c r="B11" s="330"/>
      <c r="C11" s="15" t="s">
        <v>40</v>
      </c>
      <c r="D11" s="19"/>
      <c r="E11" s="15" t="s">
        <v>51</v>
      </c>
      <c r="F11" s="18"/>
      <c r="G11" s="150">
        <v>7</v>
      </c>
      <c r="H11" s="182"/>
      <c r="I11" s="12"/>
      <c r="J11" s="27"/>
      <c r="K11" s="15" t="s">
        <v>61</v>
      </c>
      <c r="L11" s="11" t="s">
        <v>93</v>
      </c>
      <c r="M11" s="33" t="s">
        <v>94</v>
      </c>
      <c r="N11" s="34" t="s">
        <v>95</v>
      </c>
      <c r="O11" s="15" t="s">
        <v>61</v>
      </c>
      <c r="P11" s="11" t="s">
        <v>93</v>
      </c>
      <c r="Q11" s="33" t="s">
        <v>94</v>
      </c>
      <c r="R11" s="34" t="s">
        <v>95</v>
      </c>
      <c r="S11" s="15" t="s">
        <v>61</v>
      </c>
      <c r="T11" s="11" t="s">
        <v>93</v>
      </c>
      <c r="U11" s="33" t="s">
        <v>94</v>
      </c>
      <c r="V11" s="34" t="s">
        <v>95</v>
      </c>
      <c r="W11" s="346"/>
      <c r="X11" s="342"/>
      <c r="Y11" s="342"/>
      <c r="Z11" s="342"/>
      <c r="AA11" s="342"/>
      <c r="AB11" s="344"/>
      <c r="AC11" s="346"/>
      <c r="AD11" s="342"/>
      <c r="AE11" s="342"/>
      <c r="AF11" s="342"/>
      <c r="AG11" s="342"/>
      <c r="AH11" s="344"/>
      <c r="AI11" s="346"/>
      <c r="AJ11" s="342"/>
      <c r="AK11" s="344"/>
      <c r="AL11" s="337"/>
      <c r="AM11" s="54" t="s">
        <v>98</v>
      </c>
      <c r="AN11" s="56"/>
      <c r="AO11" s="54" t="s">
        <v>13</v>
      </c>
      <c r="AP11" s="59"/>
      <c r="AQ11" s="337"/>
      <c r="AR11" s="54" t="s">
        <v>98</v>
      </c>
      <c r="AS11" s="56"/>
      <c r="AT11" s="54" t="s">
        <v>13</v>
      </c>
      <c r="AU11" s="59"/>
      <c r="BF11" s="4" t="s">
        <v>185</v>
      </c>
    </row>
    <row r="12" spans="1:58" s="4" customFormat="1" ht="16.5" customHeight="1">
      <c r="A12" s="329"/>
      <c r="B12" s="330"/>
      <c r="C12" s="15" t="s">
        <v>41</v>
      </c>
      <c r="D12" s="19"/>
      <c r="E12" s="15" t="s">
        <v>52</v>
      </c>
      <c r="F12" s="18"/>
      <c r="G12" s="152">
        <v>8</v>
      </c>
      <c r="H12" s="185"/>
      <c r="I12" s="25"/>
      <c r="J12" s="29"/>
      <c r="K12" s="15" t="s">
        <v>62</v>
      </c>
      <c r="L12" s="11" t="s">
        <v>93</v>
      </c>
      <c r="M12" s="33" t="s">
        <v>94</v>
      </c>
      <c r="N12" s="34" t="s">
        <v>95</v>
      </c>
      <c r="O12" s="15" t="s">
        <v>62</v>
      </c>
      <c r="P12" s="11" t="s">
        <v>93</v>
      </c>
      <c r="Q12" s="33" t="s">
        <v>94</v>
      </c>
      <c r="R12" s="34" t="s">
        <v>95</v>
      </c>
      <c r="S12" s="15" t="s">
        <v>62</v>
      </c>
      <c r="T12" s="11" t="s">
        <v>93</v>
      </c>
      <c r="U12" s="33" t="s">
        <v>94</v>
      </c>
      <c r="V12" s="34" t="s">
        <v>95</v>
      </c>
      <c r="W12" s="346"/>
      <c r="X12" s="342"/>
      <c r="Y12" s="342"/>
      <c r="Z12" s="342"/>
      <c r="AA12" s="342"/>
      <c r="AB12" s="344"/>
      <c r="AC12" s="346"/>
      <c r="AD12" s="342"/>
      <c r="AE12" s="342"/>
      <c r="AF12" s="342"/>
      <c r="AG12" s="342"/>
      <c r="AH12" s="344"/>
      <c r="AI12" s="356"/>
      <c r="AJ12" s="343"/>
      <c r="AK12" s="345"/>
      <c r="AL12" s="337"/>
      <c r="AM12" s="54" t="s">
        <v>99</v>
      </c>
      <c r="AN12" s="57"/>
      <c r="AO12" s="54" t="s">
        <v>13</v>
      </c>
      <c r="AP12" s="60"/>
      <c r="AQ12" s="337"/>
      <c r="AR12" s="54" t="s">
        <v>99</v>
      </c>
      <c r="AS12" s="57"/>
      <c r="AT12" s="54" t="s">
        <v>13</v>
      </c>
      <c r="AU12" s="60"/>
    </row>
    <row r="13" spans="1:58" s="4" customFormat="1" ht="16.5" customHeight="1">
      <c r="A13" s="329"/>
      <c r="B13" s="330"/>
      <c r="C13" s="15" t="s">
        <v>42</v>
      </c>
      <c r="D13" s="19"/>
      <c r="E13" s="15" t="s">
        <v>53</v>
      </c>
      <c r="F13" s="191"/>
      <c r="G13" s="160"/>
      <c r="H13" s="186"/>
      <c r="I13" s="161"/>
      <c r="J13" s="161"/>
      <c r="K13" s="15" t="s">
        <v>63</v>
      </c>
      <c r="L13" s="11" t="s">
        <v>93</v>
      </c>
      <c r="M13" s="33" t="s">
        <v>94</v>
      </c>
      <c r="N13" s="34" t="s">
        <v>95</v>
      </c>
      <c r="O13" s="15" t="s">
        <v>63</v>
      </c>
      <c r="P13" s="11" t="s">
        <v>93</v>
      </c>
      <c r="Q13" s="33" t="s">
        <v>94</v>
      </c>
      <c r="R13" s="34" t="s">
        <v>95</v>
      </c>
      <c r="S13" s="15" t="s">
        <v>63</v>
      </c>
      <c r="T13" s="11" t="s">
        <v>93</v>
      </c>
      <c r="U13" s="33" t="s">
        <v>94</v>
      </c>
      <c r="V13" s="34" t="s">
        <v>95</v>
      </c>
      <c r="W13" s="356"/>
      <c r="X13" s="343"/>
      <c r="Y13" s="343"/>
      <c r="Z13" s="343"/>
      <c r="AA13" s="343"/>
      <c r="AB13" s="345"/>
      <c r="AC13" s="356"/>
      <c r="AD13" s="343"/>
      <c r="AE13" s="343"/>
      <c r="AF13" s="343"/>
      <c r="AG13" s="343"/>
      <c r="AH13" s="345"/>
      <c r="AI13" s="172"/>
      <c r="AJ13" s="173"/>
      <c r="AK13" s="174"/>
      <c r="AL13" s="338"/>
      <c r="AM13" s="55" t="s">
        <v>100</v>
      </c>
      <c r="AN13" s="58"/>
      <c r="AO13" s="55" t="s">
        <v>101</v>
      </c>
      <c r="AP13" s="61"/>
      <c r="AQ13" s="338"/>
      <c r="AR13" s="55" t="s">
        <v>100</v>
      </c>
      <c r="AS13" s="58"/>
      <c r="AT13" s="55" t="s">
        <v>101</v>
      </c>
      <c r="AU13" s="61"/>
    </row>
    <row r="14" spans="1:58" ht="16.5" customHeight="1">
      <c r="A14" s="329"/>
      <c r="B14" s="330"/>
      <c r="C14" s="16" t="s">
        <v>43</v>
      </c>
      <c r="D14" s="21"/>
      <c r="E14" s="189" t="s">
        <v>293</v>
      </c>
      <c r="F14" s="190" t="s">
        <v>188</v>
      </c>
      <c r="G14" s="162"/>
      <c r="H14" s="187"/>
      <c r="I14" s="163"/>
      <c r="J14" s="163"/>
      <c r="K14" s="30" t="s">
        <v>64</v>
      </c>
      <c r="L14" s="24" t="s">
        <v>93</v>
      </c>
      <c r="M14" s="35" t="s">
        <v>94</v>
      </c>
      <c r="N14" s="36" t="s">
        <v>95</v>
      </c>
      <c r="O14" s="30" t="s">
        <v>64</v>
      </c>
      <c r="P14" s="24" t="s">
        <v>193</v>
      </c>
      <c r="Q14" s="35" t="s">
        <v>94</v>
      </c>
      <c r="R14" s="36" t="s">
        <v>95</v>
      </c>
      <c r="S14" s="30" t="s">
        <v>64</v>
      </c>
      <c r="T14" s="24" t="s">
        <v>93</v>
      </c>
      <c r="U14" s="35" t="s">
        <v>94</v>
      </c>
      <c r="V14" s="36" t="s">
        <v>95</v>
      </c>
      <c r="W14" s="164"/>
      <c r="X14" s="165"/>
      <c r="Y14" s="165"/>
      <c r="Z14" s="165"/>
      <c r="AA14" s="166"/>
      <c r="AB14" s="167"/>
      <c r="AC14" s="168"/>
      <c r="AD14" s="169"/>
      <c r="AE14" s="170"/>
      <c r="AF14" s="170"/>
      <c r="AG14" s="170"/>
      <c r="AH14" s="171"/>
      <c r="AI14" s="168"/>
      <c r="AJ14" s="169"/>
      <c r="AK14" s="171"/>
      <c r="AL14" s="175"/>
      <c r="AM14" s="158"/>
      <c r="AN14" s="158"/>
      <c r="AO14" s="158"/>
      <c r="AP14" s="159"/>
      <c r="AQ14" s="175"/>
      <c r="AR14" s="158"/>
      <c r="AS14" s="158"/>
      <c r="AT14" s="158"/>
      <c r="AU14" s="159"/>
    </row>
    <row r="15" spans="1:58" ht="16.5" customHeight="1"/>
    <row r="16" spans="1:58" ht="16.5" customHeight="1">
      <c r="A16" s="329">
        <v>2</v>
      </c>
      <c r="B16" s="330" t="s">
        <v>250</v>
      </c>
      <c r="C16" s="14" t="s">
        <v>45</v>
      </c>
      <c r="D16" s="52"/>
      <c r="E16" s="14" t="s">
        <v>46</v>
      </c>
      <c r="F16" s="17"/>
      <c r="G16" s="149">
        <v>6</v>
      </c>
      <c r="H16" s="181"/>
      <c r="I16" s="10"/>
      <c r="J16" s="26"/>
      <c r="K16" s="14" t="s">
        <v>54</v>
      </c>
      <c r="L16" s="9"/>
      <c r="M16" s="31"/>
      <c r="N16" s="32"/>
      <c r="O16" s="14" t="s">
        <v>54</v>
      </c>
      <c r="P16" s="9"/>
      <c r="Q16" s="31"/>
      <c r="R16" s="32"/>
      <c r="S16" s="14" t="s">
        <v>54</v>
      </c>
      <c r="T16" s="9"/>
      <c r="U16" s="31"/>
      <c r="V16" s="37"/>
      <c r="W16" s="353">
        <v>6</v>
      </c>
      <c r="X16" s="354" t="s">
        <v>317</v>
      </c>
      <c r="Y16" s="354" t="s">
        <v>213</v>
      </c>
      <c r="Z16" s="354" t="s">
        <v>202</v>
      </c>
      <c r="AA16" s="357">
        <v>40951</v>
      </c>
      <c r="AB16" s="355"/>
      <c r="AC16" s="353"/>
      <c r="AD16" s="354"/>
      <c r="AE16" s="354"/>
      <c r="AF16" s="354"/>
      <c r="AG16" s="354"/>
      <c r="AH16" s="355"/>
      <c r="AI16" s="353">
        <v>6</v>
      </c>
      <c r="AJ16" s="354"/>
      <c r="AK16" s="355"/>
      <c r="AL16" s="336">
        <v>1</v>
      </c>
      <c r="AM16" s="53" t="s">
        <v>0</v>
      </c>
      <c r="AN16" s="339"/>
      <c r="AO16" s="340"/>
      <c r="AP16" s="341"/>
      <c r="AQ16" s="336">
        <v>3</v>
      </c>
      <c r="AR16" s="53" t="s">
        <v>0</v>
      </c>
      <c r="AS16" s="339"/>
      <c r="AT16" s="340"/>
      <c r="AU16" s="341"/>
    </row>
    <row r="17" spans="1:47" ht="16.5" customHeight="1">
      <c r="A17" s="329"/>
      <c r="B17" s="330"/>
      <c r="C17" s="15" t="s">
        <v>36</v>
      </c>
      <c r="D17" s="19"/>
      <c r="E17" s="15" t="s">
        <v>73</v>
      </c>
      <c r="F17" s="18"/>
      <c r="G17" s="150">
        <v>7</v>
      </c>
      <c r="H17" s="182"/>
      <c r="I17" s="12"/>
      <c r="J17" s="27"/>
      <c r="K17" s="15" t="s">
        <v>55</v>
      </c>
      <c r="L17" s="11"/>
      <c r="M17" s="33"/>
      <c r="N17" s="34"/>
      <c r="O17" s="15" t="s">
        <v>55</v>
      </c>
      <c r="P17" s="11"/>
      <c r="Q17" s="33"/>
      <c r="R17" s="34"/>
      <c r="S17" s="15" t="s">
        <v>55</v>
      </c>
      <c r="T17" s="11"/>
      <c r="U17" s="33"/>
      <c r="V17" s="38"/>
      <c r="W17" s="346"/>
      <c r="X17" s="342"/>
      <c r="Y17" s="342"/>
      <c r="Z17" s="342"/>
      <c r="AA17" s="342"/>
      <c r="AB17" s="344"/>
      <c r="AC17" s="346"/>
      <c r="AD17" s="342"/>
      <c r="AE17" s="342"/>
      <c r="AF17" s="342"/>
      <c r="AG17" s="342"/>
      <c r="AH17" s="344"/>
      <c r="AI17" s="346"/>
      <c r="AJ17" s="342"/>
      <c r="AK17" s="344"/>
      <c r="AL17" s="337"/>
      <c r="AM17" s="54" t="s">
        <v>97</v>
      </c>
      <c r="AN17" s="176"/>
      <c r="AO17" s="54" t="s">
        <v>212</v>
      </c>
      <c r="AP17" s="178"/>
      <c r="AQ17" s="337"/>
      <c r="AR17" s="54" t="s">
        <v>97</v>
      </c>
      <c r="AS17" s="176"/>
      <c r="AT17" s="179" t="s">
        <v>212</v>
      </c>
      <c r="AU17" s="177"/>
    </row>
    <row r="18" spans="1:47" ht="16.5" customHeight="1">
      <c r="A18" s="329"/>
      <c r="B18" s="330"/>
      <c r="C18" s="15" t="s">
        <v>37</v>
      </c>
      <c r="D18" s="20"/>
      <c r="E18" s="15" t="s">
        <v>47</v>
      </c>
      <c r="F18" s="18"/>
      <c r="G18" s="150">
        <v>8</v>
      </c>
      <c r="H18" s="183"/>
      <c r="I18" s="13"/>
      <c r="J18" s="28"/>
      <c r="K18" s="15" t="s">
        <v>56</v>
      </c>
      <c r="L18" s="11"/>
      <c r="M18" s="33"/>
      <c r="N18" s="34"/>
      <c r="O18" s="15" t="s">
        <v>56</v>
      </c>
      <c r="P18" s="11"/>
      <c r="Q18" s="33"/>
      <c r="R18" s="34"/>
      <c r="S18" s="15" t="s">
        <v>56</v>
      </c>
      <c r="T18" s="11"/>
      <c r="U18" s="33"/>
      <c r="V18" s="38"/>
      <c r="W18" s="346"/>
      <c r="X18" s="342"/>
      <c r="Y18" s="342"/>
      <c r="Z18" s="342"/>
      <c r="AA18" s="342"/>
      <c r="AB18" s="344"/>
      <c r="AC18" s="346"/>
      <c r="AD18" s="342"/>
      <c r="AE18" s="342"/>
      <c r="AF18" s="342"/>
      <c r="AG18" s="342"/>
      <c r="AH18" s="344"/>
      <c r="AI18" s="346"/>
      <c r="AJ18" s="342"/>
      <c r="AK18" s="344"/>
      <c r="AL18" s="337"/>
      <c r="AM18" s="54" t="s">
        <v>98</v>
      </c>
      <c r="AN18" s="56"/>
      <c r="AO18" s="54" t="s">
        <v>13</v>
      </c>
      <c r="AP18" s="59"/>
      <c r="AQ18" s="337"/>
      <c r="AR18" s="54" t="s">
        <v>98</v>
      </c>
      <c r="AS18" s="56"/>
      <c r="AT18" s="54" t="s">
        <v>13</v>
      </c>
      <c r="AU18" s="59"/>
    </row>
    <row r="19" spans="1:47" ht="16.5" customHeight="1">
      <c r="A19" s="329"/>
      <c r="B19" s="330"/>
      <c r="C19" s="15" t="s">
        <v>44</v>
      </c>
      <c r="D19" s="19"/>
      <c r="E19" s="15" t="s">
        <v>65</v>
      </c>
      <c r="F19" s="18"/>
      <c r="G19" s="153"/>
      <c r="H19" s="184"/>
      <c r="I19" s="23"/>
      <c r="J19" s="23"/>
      <c r="K19" s="15" t="s">
        <v>57</v>
      </c>
      <c r="L19" s="11"/>
      <c r="M19" s="33"/>
      <c r="N19" s="34"/>
      <c r="O19" s="15" t="s">
        <v>57</v>
      </c>
      <c r="P19" s="11"/>
      <c r="Q19" s="33"/>
      <c r="R19" s="34"/>
      <c r="S19" s="15" t="s">
        <v>57</v>
      </c>
      <c r="T19" s="11"/>
      <c r="U19" s="33"/>
      <c r="V19" s="38"/>
      <c r="W19" s="346"/>
      <c r="X19" s="342"/>
      <c r="Y19" s="342"/>
      <c r="Z19" s="342"/>
      <c r="AA19" s="342"/>
      <c r="AB19" s="344"/>
      <c r="AC19" s="346"/>
      <c r="AD19" s="342"/>
      <c r="AE19" s="342"/>
      <c r="AF19" s="342"/>
      <c r="AG19" s="342"/>
      <c r="AH19" s="344"/>
      <c r="AI19" s="346">
        <v>7</v>
      </c>
      <c r="AJ19" s="342"/>
      <c r="AK19" s="344"/>
      <c r="AL19" s="337"/>
      <c r="AM19" s="54" t="s">
        <v>99</v>
      </c>
      <c r="AN19" s="57"/>
      <c r="AO19" s="54" t="s">
        <v>13</v>
      </c>
      <c r="AP19" s="60"/>
      <c r="AQ19" s="337"/>
      <c r="AR19" s="54" t="s">
        <v>99</v>
      </c>
      <c r="AS19" s="57"/>
      <c r="AT19" s="54" t="s">
        <v>13</v>
      </c>
      <c r="AU19" s="60"/>
    </row>
    <row r="20" spans="1:47" ht="16.5" customHeight="1">
      <c r="A20" s="329"/>
      <c r="B20" s="330"/>
      <c r="C20" s="15" t="s">
        <v>229</v>
      </c>
      <c r="D20" s="4"/>
      <c r="E20" s="15" t="s">
        <v>48</v>
      </c>
      <c r="F20" s="18"/>
      <c r="G20" s="331" t="s">
        <v>12</v>
      </c>
      <c r="H20" s="332"/>
      <c r="I20" s="332"/>
      <c r="J20" s="332"/>
      <c r="K20" s="15" t="s">
        <v>58</v>
      </c>
      <c r="L20" s="11"/>
      <c r="M20" s="33"/>
      <c r="N20" s="34"/>
      <c r="O20" s="15" t="s">
        <v>58</v>
      </c>
      <c r="P20" s="11"/>
      <c r="Q20" s="33"/>
      <c r="R20" s="34"/>
      <c r="S20" s="15" t="s">
        <v>58</v>
      </c>
      <c r="T20" s="11"/>
      <c r="U20" s="33"/>
      <c r="V20" s="38"/>
      <c r="W20" s="346"/>
      <c r="X20" s="342"/>
      <c r="Y20" s="342"/>
      <c r="Z20" s="342"/>
      <c r="AA20" s="342"/>
      <c r="AB20" s="344"/>
      <c r="AC20" s="346"/>
      <c r="AD20" s="342"/>
      <c r="AE20" s="342"/>
      <c r="AF20" s="342"/>
      <c r="AG20" s="342"/>
      <c r="AH20" s="344"/>
      <c r="AI20" s="346"/>
      <c r="AJ20" s="342"/>
      <c r="AK20" s="344"/>
      <c r="AL20" s="338"/>
      <c r="AM20" s="55" t="s">
        <v>100</v>
      </c>
      <c r="AN20" s="58"/>
      <c r="AO20" s="55" t="s">
        <v>101</v>
      </c>
      <c r="AP20" s="61"/>
      <c r="AQ20" s="338"/>
      <c r="AR20" s="55" t="s">
        <v>100</v>
      </c>
      <c r="AS20" s="58"/>
      <c r="AT20" s="55" t="s">
        <v>101</v>
      </c>
      <c r="AU20" s="61"/>
    </row>
    <row r="21" spans="1:47" ht="22.5" customHeight="1">
      <c r="A21" s="329"/>
      <c r="B21" s="330"/>
      <c r="C21" s="15" t="s">
        <v>38</v>
      </c>
      <c r="D21" s="19"/>
      <c r="E21" s="15" t="s">
        <v>49</v>
      </c>
      <c r="F21" s="18"/>
      <c r="G21" s="8" t="s">
        <v>13</v>
      </c>
      <c r="H21" s="180" t="s">
        <v>14</v>
      </c>
      <c r="I21" s="6" t="s">
        <v>15</v>
      </c>
      <c r="J21" s="6" t="s">
        <v>16</v>
      </c>
      <c r="K21" s="15" t="s">
        <v>59</v>
      </c>
      <c r="L21" s="11"/>
      <c r="M21" s="33"/>
      <c r="N21" s="34"/>
      <c r="O21" s="15" t="s">
        <v>59</v>
      </c>
      <c r="P21" s="11"/>
      <c r="Q21" s="33"/>
      <c r="R21" s="34"/>
      <c r="S21" s="15" t="s">
        <v>59</v>
      </c>
      <c r="T21" s="11"/>
      <c r="U21" s="33"/>
      <c r="V21" s="38"/>
      <c r="W21" s="346"/>
      <c r="X21" s="342"/>
      <c r="Y21" s="342"/>
      <c r="Z21" s="342"/>
      <c r="AA21" s="342"/>
      <c r="AB21" s="344"/>
      <c r="AC21" s="346"/>
      <c r="AD21" s="342"/>
      <c r="AE21" s="342"/>
      <c r="AF21" s="342"/>
      <c r="AG21" s="342"/>
      <c r="AH21" s="344"/>
      <c r="AI21" s="346"/>
      <c r="AJ21" s="342"/>
      <c r="AK21" s="344"/>
      <c r="AL21" s="336">
        <v>2</v>
      </c>
      <c r="AM21" s="53" t="s">
        <v>0</v>
      </c>
      <c r="AN21" s="339"/>
      <c r="AO21" s="340"/>
      <c r="AP21" s="341"/>
      <c r="AQ21" s="336">
        <v>4</v>
      </c>
      <c r="AR21" s="53" t="s">
        <v>0</v>
      </c>
      <c r="AS21" s="339"/>
      <c r="AT21" s="340"/>
      <c r="AU21" s="341"/>
    </row>
    <row r="22" spans="1:47" ht="16.5" customHeight="1">
      <c r="A22" s="329"/>
      <c r="B22" s="330"/>
      <c r="C22" s="15" t="s">
        <v>39</v>
      </c>
      <c r="D22" s="19"/>
      <c r="E22" s="15" t="s">
        <v>50</v>
      </c>
      <c r="F22" s="18"/>
      <c r="G22" s="151">
        <v>6</v>
      </c>
      <c r="H22" s="181"/>
      <c r="I22" s="10"/>
      <c r="J22" s="26"/>
      <c r="K22" s="15" t="s">
        <v>60</v>
      </c>
      <c r="L22" s="11"/>
      <c r="M22" s="33"/>
      <c r="N22" s="34"/>
      <c r="O22" s="15" t="s">
        <v>60</v>
      </c>
      <c r="P22" s="11"/>
      <c r="Q22" s="33"/>
      <c r="R22" s="34"/>
      <c r="S22" s="15" t="s">
        <v>60</v>
      </c>
      <c r="T22" s="11"/>
      <c r="U22" s="33"/>
      <c r="V22" s="38"/>
      <c r="W22" s="346"/>
      <c r="X22" s="342"/>
      <c r="Y22" s="342"/>
      <c r="Z22" s="342"/>
      <c r="AA22" s="342"/>
      <c r="AB22" s="344"/>
      <c r="AC22" s="346"/>
      <c r="AD22" s="342"/>
      <c r="AE22" s="342"/>
      <c r="AF22" s="342"/>
      <c r="AG22" s="342"/>
      <c r="AH22" s="344"/>
      <c r="AI22" s="346">
        <v>8</v>
      </c>
      <c r="AJ22" s="342"/>
      <c r="AK22" s="344"/>
      <c r="AL22" s="337"/>
      <c r="AM22" s="54" t="s">
        <v>97</v>
      </c>
      <c r="AN22" s="176"/>
      <c r="AO22" s="179" t="s">
        <v>212</v>
      </c>
      <c r="AP22" s="177"/>
      <c r="AQ22" s="337"/>
      <c r="AR22" s="54" t="s">
        <v>97</v>
      </c>
      <c r="AS22" s="176"/>
      <c r="AT22" s="179" t="s">
        <v>212</v>
      </c>
      <c r="AU22" s="177"/>
    </row>
    <row r="23" spans="1:47" ht="16.5" customHeight="1">
      <c r="A23" s="329"/>
      <c r="B23" s="330"/>
      <c r="C23" s="15" t="s">
        <v>40</v>
      </c>
      <c r="D23" s="19"/>
      <c r="E23" s="15" t="s">
        <v>51</v>
      </c>
      <c r="F23" s="18"/>
      <c r="G23" s="150">
        <v>7</v>
      </c>
      <c r="H23" s="182"/>
      <c r="I23" s="12"/>
      <c r="J23" s="27"/>
      <c r="K23" s="15" t="s">
        <v>61</v>
      </c>
      <c r="L23" s="11"/>
      <c r="M23" s="33"/>
      <c r="N23" s="34"/>
      <c r="O23" s="15" t="s">
        <v>61</v>
      </c>
      <c r="P23" s="11"/>
      <c r="Q23" s="33"/>
      <c r="R23" s="34"/>
      <c r="S23" s="15" t="s">
        <v>61</v>
      </c>
      <c r="T23" s="11"/>
      <c r="U23" s="33"/>
      <c r="V23" s="38"/>
      <c r="W23" s="346"/>
      <c r="X23" s="342"/>
      <c r="Y23" s="342"/>
      <c r="Z23" s="342"/>
      <c r="AA23" s="342"/>
      <c r="AB23" s="344"/>
      <c r="AC23" s="346"/>
      <c r="AD23" s="342"/>
      <c r="AE23" s="342"/>
      <c r="AF23" s="342"/>
      <c r="AG23" s="342"/>
      <c r="AH23" s="344"/>
      <c r="AI23" s="346"/>
      <c r="AJ23" s="342"/>
      <c r="AK23" s="344"/>
      <c r="AL23" s="337"/>
      <c r="AM23" s="54" t="s">
        <v>98</v>
      </c>
      <c r="AN23" s="56"/>
      <c r="AO23" s="54" t="s">
        <v>13</v>
      </c>
      <c r="AP23" s="59"/>
      <c r="AQ23" s="337"/>
      <c r="AR23" s="54" t="s">
        <v>98</v>
      </c>
      <c r="AS23" s="56"/>
      <c r="AT23" s="54" t="s">
        <v>13</v>
      </c>
      <c r="AU23" s="59"/>
    </row>
    <row r="24" spans="1:47" ht="16.5" customHeight="1">
      <c r="A24" s="329"/>
      <c r="B24" s="330"/>
      <c r="C24" s="15" t="s">
        <v>41</v>
      </c>
      <c r="D24" s="19"/>
      <c r="E24" s="15" t="s">
        <v>52</v>
      </c>
      <c r="F24" s="18"/>
      <c r="G24" s="152">
        <v>8</v>
      </c>
      <c r="H24" s="185"/>
      <c r="I24" s="25"/>
      <c r="J24" s="29"/>
      <c r="K24" s="15" t="s">
        <v>62</v>
      </c>
      <c r="L24" s="11"/>
      <c r="M24" s="33"/>
      <c r="N24" s="34"/>
      <c r="O24" s="15" t="s">
        <v>62</v>
      </c>
      <c r="P24" s="11"/>
      <c r="Q24" s="33"/>
      <c r="R24" s="34"/>
      <c r="S24" s="15" t="s">
        <v>62</v>
      </c>
      <c r="T24" s="11"/>
      <c r="U24" s="33"/>
      <c r="V24" s="38"/>
      <c r="W24" s="346"/>
      <c r="X24" s="342"/>
      <c r="Y24" s="342"/>
      <c r="Z24" s="342"/>
      <c r="AA24" s="342"/>
      <c r="AB24" s="344"/>
      <c r="AC24" s="346"/>
      <c r="AD24" s="342"/>
      <c r="AE24" s="342"/>
      <c r="AF24" s="342"/>
      <c r="AG24" s="342"/>
      <c r="AH24" s="344"/>
      <c r="AI24" s="356"/>
      <c r="AJ24" s="343"/>
      <c r="AK24" s="345"/>
      <c r="AL24" s="337"/>
      <c r="AM24" s="54" t="s">
        <v>99</v>
      </c>
      <c r="AN24" s="57"/>
      <c r="AO24" s="54" t="s">
        <v>13</v>
      </c>
      <c r="AP24" s="60"/>
      <c r="AQ24" s="337"/>
      <c r="AR24" s="54" t="s">
        <v>99</v>
      </c>
      <c r="AS24" s="57"/>
      <c r="AT24" s="54" t="s">
        <v>13</v>
      </c>
      <c r="AU24" s="60"/>
    </row>
    <row r="25" spans="1:47" ht="16.5" customHeight="1">
      <c r="A25" s="329"/>
      <c r="B25" s="330"/>
      <c r="C25" s="15" t="s">
        <v>42</v>
      </c>
      <c r="D25" s="19"/>
      <c r="E25" s="16" t="s">
        <v>53</v>
      </c>
      <c r="F25" s="22"/>
      <c r="G25" s="160"/>
      <c r="H25" s="186"/>
      <c r="I25" s="161"/>
      <c r="J25" s="161"/>
      <c r="K25" s="15" t="s">
        <v>63</v>
      </c>
      <c r="L25" s="11"/>
      <c r="M25" s="33"/>
      <c r="N25" s="34"/>
      <c r="O25" s="15" t="s">
        <v>63</v>
      </c>
      <c r="P25" s="11"/>
      <c r="Q25" s="33"/>
      <c r="R25" s="34"/>
      <c r="S25" s="15" t="s">
        <v>63</v>
      </c>
      <c r="T25" s="11"/>
      <c r="U25" s="33"/>
      <c r="V25" s="38"/>
      <c r="W25" s="356"/>
      <c r="X25" s="343"/>
      <c r="Y25" s="343"/>
      <c r="Z25" s="343"/>
      <c r="AA25" s="343"/>
      <c r="AB25" s="345"/>
      <c r="AC25" s="356"/>
      <c r="AD25" s="343"/>
      <c r="AE25" s="343"/>
      <c r="AF25" s="343"/>
      <c r="AG25" s="343"/>
      <c r="AH25" s="345"/>
      <c r="AI25" s="172"/>
      <c r="AJ25" s="173"/>
      <c r="AK25" s="174"/>
      <c r="AL25" s="338"/>
      <c r="AM25" s="55" t="s">
        <v>100</v>
      </c>
      <c r="AN25" s="58"/>
      <c r="AO25" s="55" t="s">
        <v>101</v>
      </c>
      <c r="AP25" s="61"/>
      <c r="AQ25" s="338"/>
      <c r="AR25" s="55" t="s">
        <v>100</v>
      </c>
      <c r="AS25" s="58"/>
      <c r="AT25" s="55" t="s">
        <v>101</v>
      </c>
      <c r="AU25" s="61"/>
    </row>
    <row r="26" spans="1:47" ht="16.5" customHeight="1">
      <c r="A26" s="329"/>
      <c r="B26" s="330"/>
      <c r="C26" s="16" t="s">
        <v>43</v>
      </c>
      <c r="D26" s="21"/>
      <c r="E26" s="189" t="s">
        <v>293</v>
      </c>
      <c r="F26" s="190" t="s">
        <v>188</v>
      </c>
      <c r="G26" s="162"/>
      <c r="H26" s="187"/>
      <c r="I26" s="163"/>
      <c r="J26" s="163"/>
      <c r="K26" s="30" t="s">
        <v>64</v>
      </c>
      <c r="L26" s="24"/>
      <c r="M26" s="35"/>
      <c r="N26" s="36"/>
      <c r="O26" s="30" t="s">
        <v>64</v>
      </c>
      <c r="P26" s="24"/>
      <c r="Q26" s="35"/>
      <c r="R26" s="36"/>
      <c r="S26" s="30" t="s">
        <v>64</v>
      </c>
      <c r="T26" s="24"/>
      <c r="U26" s="35"/>
      <c r="V26" s="39"/>
      <c r="W26" s="164"/>
      <c r="X26" s="165"/>
      <c r="Y26" s="165"/>
      <c r="Z26" s="165"/>
      <c r="AA26" s="166"/>
      <c r="AB26" s="167"/>
      <c r="AC26" s="168"/>
      <c r="AD26" s="169"/>
      <c r="AE26" s="170"/>
      <c r="AF26" s="170"/>
      <c r="AG26" s="170"/>
      <c r="AH26" s="171"/>
      <c r="AI26" s="168"/>
      <c r="AJ26" s="169"/>
      <c r="AK26" s="171"/>
      <c r="AL26" s="175"/>
      <c r="AM26" s="158"/>
      <c r="AN26" s="158"/>
      <c r="AO26" s="158"/>
      <c r="AP26" s="159"/>
      <c r="AQ26" s="175"/>
      <c r="AR26" s="158"/>
      <c r="AS26" s="158"/>
      <c r="AT26" s="158"/>
      <c r="AU26" s="159"/>
    </row>
    <row r="27" spans="1:47" ht="16.5" customHeight="1"/>
    <row r="28" spans="1:47" ht="16.5" customHeight="1">
      <c r="A28" s="329">
        <v>3</v>
      </c>
      <c r="B28" s="330" t="s">
        <v>251</v>
      </c>
      <c r="C28" s="14" t="s">
        <v>45</v>
      </c>
      <c r="D28" s="52"/>
      <c r="E28" s="14" t="s">
        <v>46</v>
      </c>
      <c r="F28" s="17"/>
      <c r="G28" s="149">
        <v>6</v>
      </c>
      <c r="H28" s="181"/>
      <c r="I28" s="10"/>
      <c r="J28" s="26"/>
      <c r="K28" s="14" t="s">
        <v>54</v>
      </c>
      <c r="L28" s="9"/>
      <c r="M28" s="31"/>
      <c r="N28" s="32"/>
      <c r="O28" s="14" t="s">
        <v>54</v>
      </c>
      <c r="P28" s="9"/>
      <c r="Q28" s="31"/>
      <c r="R28" s="32"/>
      <c r="S28" s="14" t="s">
        <v>54</v>
      </c>
      <c r="T28" s="9"/>
      <c r="U28" s="31"/>
      <c r="V28" s="37"/>
      <c r="W28" s="353"/>
      <c r="X28" s="354"/>
      <c r="Y28" s="354"/>
      <c r="Z28" s="354"/>
      <c r="AA28" s="354"/>
      <c r="AB28" s="355"/>
      <c r="AC28" s="353"/>
      <c r="AD28" s="354"/>
      <c r="AE28" s="354"/>
      <c r="AF28" s="354"/>
      <c r="AG28" s="354"/>
      <c r="AH28" s="355"/>
      <c r="AI28" s="353">
        <v>6</v>
      </c>
      <c r="AJ28" s="354"/>
      <c r="AK28" s="355"/>
      <c r="AL28" s="336">
        <v>1</v>
      </c>
      <c r="AM28" s="53" t="s">
        <v>0</v>
      </c>
      <c r="AN28" s="339"/>
      <c r="AO28" s="340"/>
      <c r="AP28" s="341"/>
      <c r="AQ28" s="336">
        <v>3</v>
      </c>
      <c r="AR28" s="53" t="s">
        <v>0</v>
      </c>
      <c r="AS28" s="339"/>
      <c r="AT28" s="340"/>
      <c r="AU28" s="341"/>
    </row>
    <row r="29" spans="1:47" ht="16.5" customHeight="1">
      <c r="A29" s="329"/>
      <c r="B29" s="330"/>
      <c r="C29" s="15" t="s">
        <v>36</v>
      </c>
      <c r="D29" s="19"/>
      <c r="E29" s="15" t="s">
        <v>73</v>
      </c>
      <c r="F29" s="18"/>
      <c r="G29" s="150">
        <v>7</v>
      </c>
      <c r="H29" s="182"/>
      <c r="I29" s="12"/>
      <c r="J29" s="27"/>
      <c r="K29" s="15" t="s">
        <v>55</v>
      </c>
      <c r="L29" s="11"/>
      <c r="M29" s="33"/>
      <c r="N29" s="34"/>
      <c r="O29" s="15" t="s">
        <v>55</v>
      </c>
      <c r="P29" s="11"/>
      <c r="Q29" s="33"/>
      <c r="R29" s="34"/>
      <c r="S29" s="15" t="s">
        <v>55</v>
      </c>
      <c r="T29" s="11"/>
      <c r="U29" s="33"/>
      <c r="V29" s="38"/>
      <c r="W29" s="346"/>
      <c r="X29" s="342"/>
      <c r="Y29" s="342"/>
      <c r="Z29" s="342"/>
      <c r="AA29" s="342"/>
      <c r="AB29" s="344"/>
      <c r="AC29" s="346"/>
      <c r="AD29" s="342"/>
      <c r="AE29" s="342"/>
      <c r="AF29" s="342"/>
      <c r="AG29" s="342"/>
      <c r="AH29" s="344"/>
      <c r="AI29" s="346"/>
      <c r="AJ29" s="342"/>
      <c r="AK29" s="344"/>
      <c r="AL29" s="337"/>
      <c r="AM29" s="54" t="s">
        <v>97</v>
      </c>
      <c r="AN29" s="176"/>
      <c r="AO29" s="54" t="s">
        <v>212</v>
      </c>
      <c r="AP29" s="178"/>
      <c r="AQ29" s="337"/>
      <c r="AR29" s="54" t="s">
        <v>97</v>
      </c>
      <c r="AS29" s="176"/>
      <c r="AT29" s="179" t="s">
        <v>212</v>
      </c>
      <c r="AU29" s="177"/>
    </row>
    <row r="30" spans="1:47" ht="16.5" customHeight="1">
      <c r="A30" s="329"/>
      <c r="B30" s="330"/>
      <c r="C30" s="15" t="s">
        <v>37</v>
      </c>
      <c r="D30" s="20"/>
      <c r="E30" s="15" t="s">
        <v>47</v>
      </c>
      <c r="F30" s="18"/>
      <c r="G30" s="150">
        <v>8</v>
      </c>
      <c r="H30" s="183"/>
      <c r="I30" s="13"/>
      <c r="J30" s="28"/>
      <c r="K30" s="15" t="s">
        <v>56</v>
      </c>
      <c r="L30" s="11"/>
      <c r="M30" s="33"/>
      <c r="N30" s="34"/>
      <c r="O30" s="15" t="s">
        <v>56</v>
      </c>
      <c r="P30" s="11"/>
      <c r="Q30" s="33"/>
      <c r="R30" s="34"/>
      <c r="S30" s="15" t="s">
        <v>56</v>
      </c>
      <c r="T30" s="11"/>
      <c r="U30" s="33"/>
      <c r="V30" s="38"/>
      <c r="W30" s="346"/>
      <c r="X30" s="342"/>
      <c r="Y30" s="342"/>
      <c r="Z30" s="342"/>
      <c r="AA30" s="342"/>
      <c r="AB30" s="344"/>
      <c r="AC30" s="346"/>
      <c r="AD30" s="342"/>
      <c r="AE30" s="342"/>
      <c r="AF30" s="342"/>
      <c r="AG30" s="342"/>
      <c r="AH30" s="344"/>
      <c r="AI30" s="346"/>
      <c r="AJ30" s="342"/>
      <c r="AK30" s="344"/>
      <c r="AL30" s="337"/>
      <c r="AM30" s="54" t="s">
        <v>98</v>
      </c>
      <c r="AN30" s="56"/>
      <c r="AO30" s="54" t="s">
        <v>13</v>
      </c>
      <c r="AP30" s="59"/>
      <c r="AQ30" s="337"/>
      <c r="AR30" s="54" t="s">
        <v>98</v>
      </c>
      <c r="AS30" s="56"/>
      <c r="AT30" s="54" t="s">
        <v>13</v>
      </c>
      <c r="AU30" s="59"/>
    </row>
    <row r="31" spans="1:47" ht="16.5" customHeight="1">
      <c r="A31" s="329"/>
      <c r="B31" s="330"/>
      <c r="C31" s="15" t="s">
        <v>44</v>
      </c>
      <c r="D31" s="19"/>
      <c r="E31" s="15" t="s">
        <v>65</v>
      </c>
      <c r="F31" s="18"/>
      <c r="G31" s="153"/>
      <c r="H31" s="184"/>
      <c r="I31" s="23"/>
      <c r="J31" s="23"/>
      <c r="K31" s="15" t="s">
        <v>57</v>
      </c>
      <c r="L31" s="11"/>
      <c r="M31" s="33"/>
      <c r="N31" s="34"/>
      <c r="O31" s="15" t="s">
        <v>57</v>
      </c>
      <c r="P31" s="11"/>
      <c r="Q31" s="33"/>
      <c r="R31" s="34"/>
      <c r="S31" s="15" t="s">
        <v>57</v>
      </c>
      <c r="T31" s="11"/>
      <c r="U31" s="33"/>
      <c r="V31" s="38"/>
      <c r="W31" s="346"/>
      <c r="X31" s="342"/>
      <c r="Y31" s="342"/>
      <c r="Z31" s="342"/>
      <c r="AA31" s="342"/>
      <c r="AB31" s="344"/>
      <c r="AC31" s="346"/>
      <c r="AD31" s="342"/>
      <c r="AE31" s="342"/>
      <c r="AF31" s="342"/>
      <c r="AG31" s="342"/>
      <c r="AH31" s="344"/>
      <c r="AI31" s="346">
        <v>7</v>
      </c>
      <c r="AJ31" s="342"/>
      <c r="AK31" s="344"/>
      <c r="AL31" s="337"/>
      <c r="AM31" s="54" t="s">
        <v>99</v>
      </c>
      <c r="AN31" s="57"/>
      <c r="AO31" s="54" t="s">
        <v>13</v>
      </c>
      <c r="AP31" s="60"/>
      <c r="AQ31" s="337"/>
      <c r="AR31" s="54" t="s">
        <v>99</v>
      </c>
      <c r="AS31" s="57"/>
      <c r="AT31" s="54" t="s">
        <v>13</v>
      </c>
      <c r="AU31" s="60"/>
    </row>
    <row r="32" spans="1:47" ht="16.5" customHeight="1">
      <c r="A32" s="329"/>
      <c r="B32" s="330"/>
      <c r="C32" s="15" t="s">
        <v>229</v>
      </c>
      <c r="D32" s="4"/>
      <c r="E32" s="15" t="s">
        <v>48</v>
      </c>
      <c r="F32" s="18"/>
      <c r="G32" s="331" t="s">
        <v>12</v>
      </c>
      <c r="H32" s="332"/>
      <c r="I32" s="332"/>
      <c r="J32" s="332"/>
      <c r="K32" s="15" t="s">
        <v>58</v>
      </c>
      <c r="L32" s="11"/>
      <c r="M32" s="33"/>
      <c r="N32" s="34"/>
      <c r="O32" s="15" t="s">
        <v>58</v>
      </c>
      <c r="P32" s="11"/>
      <c r="Q32" s="33"/>
      <c r="R32" s="34"/>
      <c r="S32" s="15" t="s">
        <v>58</v>
      </c>
      <c r="T32" s="11"/>
      <c r="U32" s="33"/>
      <c r="V32" s="38"/>
      <c r="W32" s="346"/>
      <c r="X32" s="342"/>
      <c r="Y32" s="342"/>
      <c r="Z32" s="342"/>
      <c r="AA32" s="342"/>
      <c r="AB32" s="344"/>
      <c r="AC32" s="346"/>
      <c r="AD32" s="342"/>
      <c r="AE32" s="342"/>
      <c r="AF32" s="342"/>
      <c r="AG32" s="342"/>
      <c r="AH32" s="344"/>
      <c r="AI32" s="346"/>
      <c r="AJ32" s="342"/>
      <c r="AK32" s="344"/>
      <c r="AL32" s="338"/>
      <c r="AM32" s="55" t="s">
        <v>100</v>
      </c>
      <c r="AN32" s="58"/>
      <c r="AO32" s="55" t="s">
        <v>101</v>
      </c>
      <c r="AP32" s="61"/>
      <c r="AQ32" s="338"/>
      <c r="AR32" s="55" t="s">
        <v>100</v>
      </c>
      <c r="AS32" s="58"/>
      <c r="AT32" s="55" t="s">
        <v>101</v>
      </c>
      <c r="AU32" s="61"/>
    </row>
    <row r="33" spans="1:47" ht="16.5" customHeight="1">
      <c r="A33" s="329"/>
      <c r="B33" s="330"/>
      <c r="C33" s="15" t="s">
        <v>38</v>
      </c>
      <c r="D33" s="19"/>
      <c r="E33" s="15" t="s">
        <v>49</v>
      </c>
      <c r="F33" s="18"/>
      <c r="G33" s="8" t="s">
        <v>13</v>
      </c>
      <c r="H33" s="180" t="s">
        <v>14</v>
      </c>
      <c r="I33" s="6" t="s">
        <v>15</v>
      </c>
      <c r="J33" s="6" t="s">
        <v>16</v>
      </c>
      <c r="K33" s="15" t="s">
        <v>59</v>
      </c>
      <c r="L33" s="11"/>
      <c r="M33" s="33"/>
      <c r="N33" s="34"/>
      <c r="O33" s="15" t="s">
        <v>59</v>
      </c>
      <c r="P33" s="11"/>
      <c r="Q33" s="33"/>
      <c r="R33" s="34"/>
      <c r="S33" s="15" t="s">
        <v>59</v>
      </c>
      <c r="T33" s="11"/>
      <c r="U33" s="33"/>
      <c r="V33" s="38"/>
      <c r="W33" s="346"/>
      <c r="X33" s="342"/>
      <c r="Y33" s="342"/>
      <c r="Z33" s="342"/>
      <c r="AA33" s="342"/>
      <c r="AB33" s="344"/>
      <c r="AC33" s="346"/>
      <c r="AD33" s="342"/>
      <c r="AE33" s="342"/>
      <c r="AF33" s="342"/>
      <c r="AG33" s="342"/>
      <c r="AH33" s="344"/>
      <c r="AI33" s="346"/>
      <c r="AJ33" s="342"/>
      <c r="AK33" s="344"/>
      <c r="AL33" s="336">
        <v>2</v>
      </c>
      <c r="AM33" s="53" t="s">
        <v>0</v>
      </c>
      <c r="AN33" s="339"/>
      <c r="AO33" s="340"/>
      <c r="AP33" s="341"/>
      <c r="AQ33" s="336">
        <v>4</v>
      </c>
      <c r="AR33" s="53" t="s">
        <v>0</v>
      </c>
      <c r="AS33" s="339"/>
      <c r="AT33" s="340"/>
      <c r="AU33" s="341"/>
    </row>
    <row r="34" spans="1:47" ht="16.5" customHeight="1">
      <c r="A34" s="329"/>
      <c r="B34" s="330"/>
      <c r="C34" s="15" t="s">
        <v>39</v>
      </c>
      <c r="D34" s="19"/>
      <c r="E34" s="15" t="s">
        <v>50</v>
      </c>
      <c r="F34" s="18"/>
      <c r="G34" s="154">
        <v>6</v>
      </c>
      <c r="H34" s="181"/>
      <c r="I34" s="10"/>
      <c r="J34" s="26"/>
      <c r="K34" s="15" t="s">
        <v>60</v>
      </c>
      <c r="L34" s="11"/>
      <c r="M34" s="33"/>
      <c r="N34" s="34"/>
      <c r="O34" s="15" t="s">
        <v>60</v>
      </c>
      <c r="P34" s="11"/>
      <c r="Q34" s="33"/>
      <c r="R34" s="34"/>
      <c r="S34" s="15" t="s">
        <v>60</v>
      </c>
      <c r="T34" s="11"/>
      <c r="U34" s="33"/>
      <c r="V34" s="38"/>
      <c r="W34" s="346"/>
      <c r="X34" s="342"/>
      <c r="Y34" s="342"/>
      <c r="Z34" s="342"/>
      <c r="AA34" s="342"/>
      <c r="AB34" s="344"/>
      <c r="AC34" s="346"/>
      <c r="AD34" s="342"/>
      <c r="AE34" s="342"/>
      <c r="AF34" s="342"/>
      <c r="AG34" s="342"/>
      <c r="AH34" s="344"/>
      <c r="AI34" s="346">
        <v>8</v>
      </c>
      <c r="AJ34" s="342"/>
      <c r="AK34" s="344"/>
      <c r="AL34" s="337"/>
      <c r="AM34" s="54" t="s">
        <v>97</v>
      </c>
      <c r="AN34" s="176"/>
      <c r="AO34" s="179" t="s">
        <v>212</v>
      </c>
      <c r="AP34" s="177"/>
      <c r="AQ34" s="337"/>
      <c r="AR34" s="54" t="s">
        <v>97</v>
      </c>
      <c r="AS34" s="176"/>
      <c r="AT34" s="179" t="s">
        <v>212</v>
      </c>
      <c r="AU34" s="177"/>
    </row>
    <row r="35" spans="1:47" ht="16.5" customHeight="1">
      <c r="A35" s="329"/>
      <c r="B35" s="330"/>
      <c r="C35" s="15" t="s">
        <v>40</v>
      </c>
      <c r="D35" s="19"/>
      <c r="E35" s="15" t="s">
        <v>51</v>
      </c>
      <c r="F35" s="18"/>
      <c r="G35" s="155">
        <v>7</v>
      </c>
      <c r="H35" s="182"/>
      <c r="I35" s="12"/>
      <c r="J35" s="27"/>
      <c r="K35" s="15" t="s">
        <v>61</v>
      </c>
      <c r="L35" s="11"/>
      <c r="M35" s="33"/>
      <c r="N35" s="34"/>
      <c r="O35" s="15" t="s">
        <v>61</v>
      </c>
      <c r="P35" s="11"/>
      <c r="Q35" s="33"/>
      <c r="R35" s="34"/>
      <c r="S35" s="15" t="s">
        <v>61</v>
      </c>
      <c r="T35" s="11"/>
      <c r="U35" s="33"/>
      <c r="V35" s="38"/>
      <c r="W35" s="346"/>
      <c r="X35" s="342"/>
      <c r="Y35" s="342"/>
      <c r="Z35" s="342"/>
      <c r="AA35" s="342"/>
      <c r="AB35" s="344"/>
      <c r="AC35" s="346"/>
      <c r="AD35" s="342"/>
      <c r="AE35" s="342"/>
      <c r="AF35" s="342"/>
      <c r="AG35" s="342"/>
      <c r="AH35" s="344"/>
      <c r="AI35" s="346"/>
      <c r="AJ35" s="342"/>
      <c r="AK35" s="344"/>
      <c r="AL35" s="337"/>
      <c r="AM35" s="54" t="s">
        <v>98</v>
      </c>
      <c r="AN35" s="56"/>
      <c r="AO35" s="54" t="s">
        <v>13</v>
      </c>
      <c r="AP35" s="59"/>
      <c r="AQ35" s="337"/>
      <c r="AR35" s="54" t="s">
        <v>98</v>
      </c>
      <c r="AS35" s="56"/>
      <c r="AT35" s="54" t="s">
        <v>13</v>
      </c>
      <c r="AU35" s="59"/>
    </row>
    <row r="36" spans="1:47" ht="16.5" customHeight="1">
      <c r="A36" s="329"/>
      <c r="B36" s="330"/>
      <c r="C36" s="15" t="s">
        <v>41</v>
      </c>
      <c r="D36" s="19"/>
      <c r="E36" s="15" t="s">
        <v>52</v>
      </c>
      <c r="F36" s="18"/>
      <c r="G36" s="155">
        <v>8</v>
      </c>
      <c r="H36" s="185"/>
      <c r="I36" s="25"/>
      <c r="J36" s="29"/>
      <c r="K36" s="15" t="s">
        <v>62</v>
      </c>
      <c r="L36" s="11"/>
      <c r="M36" s="33"/>
      <c r="N36" s="34"/>
      <c r="O36" s="15" t="s">
        <v>62</v>
      </c>
      <c r="P36" s="11"/>
      <c r="Q36" s="33"/>
      <c r="R36" s="34"/>
      <c r="S36" s="15" t="s">
        <v>62</v>
      </c>
      <c r="T36" s="11"/>
      <c r="U36" s="33"/>
      <c r="V36" s="38"/>
      <c r="W36" s="346"/>
      <c r="X36" s="342"/>
      <c r="Y36" s="342"/>
      <c r="Z36" s="342"/>
      <c r="AA36" s="342"/>
      <c r="AB36" s="344"/>
      <c r="AC36" s="346"/>
      <c r="AD36" s="342"/>
      <c r="AE36" s="342"/>
      <c r="AF36" s="342"/>
      <c r="AG36" s="342"/>
      <c r="AH36" s="344"/>
      <c r="AI36" s="356"/>
      <c r="AJ36" s="343"/>
      <c r="AK36" s="345"/>
      <c r="AL36" s="337"/>
      <c r="AM36" s="54" t="s">
        <v>99</v>
      </c>
      <c r="AN36" s="57"/>
      <c r="AO36" s="54" t="s">
        <v>13</v>
      </c>
      <c r="AP36" s="60"/>
      <c r="AQ36" s="337"/>
      <c r="AR36" s="54" t="s">
        <v>99</v>
      </c>
      <c r="AS36" s="57"/>
      <c r="AT36" s="54" t="s">
        <v>13</v>
      </c>
      <c r="AU36" s="60"/>
    </row>
    <row r="37" spans="1:47" ht="16.5" customHeight="1">
      <c r="A37" s="329"/>
      <c r="B37" s="330"/>
      <c r="C37" s="15" t="s">
        <v>42</v>
      </c>
      <c r="D37" s="19"/>
      <c r="E37" s="16" t="s">
        <v>53</v>
      </c>
      <c r="F37" s="22"/>
      <c r="G37" s="160"/>
      <c r="H37" s="186"/>
      <c r="I37" s="161"/>
      <c r="J37" s="161"/>
      <c r="K37" s="15" t="s">
        <v>63</v>
      </c>
      <c r="L37" s="11"/>
      <c r="M37" s="33"/>
      <c r="N37" s="34"/>
      <c r="O37" s="15" t="s">
        <v>63</v>
      </c>
      <c r="P37" s="11"/>
      <c r="Q37" s="33"/>
      <c r="R37" s="34"/>
      <c r="S37" s="15" t="s">
        <v>63</v>
      </c>
      <c r="T37" s="11"/>
      <c r="U37" s="33"/>
      <c r="V37" s="38"/>
      <c r="W37" s="356"/>
      <c r="X37" s="343"/>
      <c r="Y37" s="343"/>
      <c r="Z37" s="343"/>
      <c r="AA37" s="343"/>
      <c r="AB37" s="345"/>
      <c r="AC37" s="356"/>
      <c r="AD37" s="343"/>
      <c r="AE37" s="343"/>
      <c r="AF37" s="343"/>
      <c r="AG37" s="343"/>
      <c r="AH37" s="345"/>
      <c r="AI37" s="172"/>
      <c r="AJ37" s="173"/>
      <c r="AK37" s="174"/>
      <c r="AL37" s="338"/>
      <c r="AM37" s="55" t="s">
        <v>100</v>
      </c>
      <c r="AN37" s="58"/>
      <c r="AO37" s="55" t="s">
        <v>101</v>
      </c>
      <c r="AP37" s="61"/>
      <c r="AQ37" s="338"/>
      <c r="AR37" s="55" t="s">
        <v>100</v>
      </c>
      <c r="AS37" s="58"/>
      <c r="AT37" s="55" t="s">
        <v>101</v>
      </c>
      <c r="AU37" s="61"/>
    </row>
    <row r="38" spans="1:47" ht="16.5" customHeight="1">
      <c r="A38" s="329"/>
      <c r="B38" s="330"/>
      <c r="C38" s="16" t="s">
        <v>43</v>
      </c>
      <c r="D38" s="21"/>
      <c r="E38" s="189" t="s">
        <v>293</v>
      </c>
      <c r="F38" s="190" t="s">
        <v>186</v>
      </c>
      <c r="G38" s="162"/>
      <c r="H38" s="187"/>
      <c r="I38" s="163"/>
      <c r="J38" s="163"/>
      <c r="K38" s="30" t="s">
        <v>64</v>
      </c>
      <c r="L38" s="24"/>
      <c r="M38" s="35"/>
      <c r="N38" s="36"/>
      <c r="O38" s="30" t="s">
        <v>64</v>
      </c>
      <c r="P38" s="24"/>
      <c r="Q38" s="35"/>
      <c r="R38" s="36"/>
      <c r="S38" s="30" t="s">
        <v>64</v>
      </c>
      <c r="T38" s="24"/>
      <c r="U38" s="35"/>
      <c r="V38" s="39"/>
      <c r="W38" s="156"/>
      <c r="X38" s="165"/>
      <c r="Y38" s="165"/>
      <c r="Z38" s="165"/>
      <c r="AA38" s="166"/>
      <c r="AB38" s="167"/>
      <c r="AC38" s="168"/>
      <c r="AD38" s="169"/>
      <c r="AE38" s="170"/>
      <c r="AF38" s="170"/>
      <c r="AG38" s="170"/>
      <c r="AH38" s="171"/>
      <c r="AI38" s="168"/>
      <c r="AJ38" s="169"/>
      <c r="AK38" s="171"/>
      <c r="AL38" s="175"/>
      <c r="AM38" s="158"/>
      <c r="AN38" s="158"/>
      <c r="AO38" s="158"/>
      <c r="AP38" s="159"/>
      <c r="AQ38" s="175"/>
      <c r="AR38" s="158"/>
      <c r="AS38" s="158"/>
      <c r="AT38" s="158"/>
      <c r="AU38" s="159"/>
    </row>
    <row r="39" spans="1:47" ht="16.5" customHeight="1"/>
    <row r="40" spans="1:47" ht="16.5" customHeight="1">
      <c r="A40" s="329">
        <v>4</v>
      </c>
      <c r="B40" s="330" t="s">
        <v>252</v>
      </c>
      <c r="C40" s="14" t="s">
        <v>45</v>
      </c>
      <c r="D40" s="52"/>
      <c r="E40" s="14" t="s">
        <v>46</v>
      </c>
      <c r="F40" s="17"/>
      <c r="G40" s="149">
        <v>6</v>
      </c>
      <c r="H40" s="181"/>
      <c r="I40" s="10"/>
      <c r="J40" s="26"/>
      <c r="K40" s="14" t="s">
        <v>54</v>
      </c>
      <c r="L40" s="9"/>
      <c r="M40" s="31"/>
      <c r="N40" s="32"/>
      <c r="O40" s="14" t="s">
        <v>54</v>
      </c>
      <c r="P40" s="9"/>
      <c r="Q40" s="31"/>
      <c r="R40" s="32"/>
      <c r="S40" s="14" t="s">
        <v>54</v>
      </c>
      <c r="T40" s="9"/>
      <c r="U40" s="31"/>
      <c r="V40" s="37"/>
      <c r="W40" s="353"/>
      <c r="X40" s="354"/>
      <c r="Y40" s="354"/>
      <c r="Z40" s="354"/>
      <c r="AA40" s="354"/>
      <c r="AB40" s="355"/>
      <c r="AC40" s="353"/>
      <c r="AD40" s="354"/>
      <c r="AE40" s="354"/>
      <c r="AF40" s="354"/>
      <c r="AG40" s="354"/>
      <c r="AH40" s="355"/>
      <c r="AI40" s="353">
        <v>6</v>
      </c>
      <c r="AJ40" s="354"/>
      <c r="AK40" s="355"/>
      <c r="AL40" s="336">
        <v>1</v>
      </c>
      <c r="AM40" s="53" t="s">
        <v>0</v>
      </c>
      <c r="AN40" s="339"/>
      <c r="AO40" s="340"/>
      <c r="AP40" s="341"/>
      <c r="AQ40" s="336">
        <v>3</v>
      </c>
      <c r="AR40" s="53" t="s">
        <v>0</v>
      </c>
      <c r="AS40" s="339"/>
      <c r="AT40" s="340"/>
      <c r="AU40" s="341"/>
    </row>
    <row r="41" spans="1:47" ht="16.5" customHeight="1">
      <c r="A41" s="329"/>
      <c r="B41" s="330"/>
      <c r="C41" s="15" t="s">
        <v>36</v>
      </c>
      <c r="D41" s="19"/>
      <c r="E41" s="15" t="s">
        <v>73</v>
      </c>
      <c r="F41" s="18"/>
      <c r="G41" s="150">
        <v>7</v>
      </c>
      <c r="H41" s="182"/>
      <c r="I41" s="12"/>
      <c r="J41" s="27"/>
      <c r="K41" s="15" t="s">
        <v>55</v>
      </c>
      <c r="L41" s="11"/>
      <c r="M41" s="33"/>
      <c r="N41" s="34"/>
      <c r="O41" s="15" t="s">
        <v>55</v>
      </c>
      <c r="P41" s="11"/>
      <c r="Q41" s="33"/>
      <c r="R41" s="34"/>
      <c r="S41" s="15" t="s">
        <v>55</v>
      </c>
      <c r="T41" s="11"/>
      <c r="U41" s="33"/>
      <c r="V41" s="38"/>
      <c r="W41" s="346"/>
      <c r="X41" s="342"/>
      <c r="Y41" s="342"/>
      <c r="Z41" s="342"/>
      <c r="AA41" s="342"/>
      <c r="AB41" s="344"/>
      <c r="AC41" s="346"/>
      <c r="AD41" s="342"/>
      <c r="AE41" s="342"/>
      <c r="AF41" s="342"/>
      <c r="AG41" s="342"/>
      <c r="AH41" s="344"/>
      <c r="AI41" s="346"/>
      <c r="AJ41" s="342"/>
      <c r="AK41" s="344"/>
      <c r="AL41" s="337"/>
      <c r="AM41" s="54" t="s">
        <v>97</v>
      </c>
      <c r="AN41" s="176"/>
      <c r="AO41" s="54" t="s">
        <v>212</v>
      </c>
      <c r="AP41" s="178"/>
      <c r="AQ41" s="337"/>
      <c r="AR41" s="54" t="s">
        <v>97</v>
      </c>
      <c r="AS41" s="176"/>
      <c r="AT41" s="179" t="s">
        <v>212</v>
      </c>
      <c r="AU41" s="177"/>
    </row>
    <row r="42" spans="1:47" ht="16.5" customHeight="1">
      <c r="A42" s="329"/>
      <c r="B42" s="330"/>
      <c r="C42" s="15" t="s">
        <v>37</v>
      </c>
      <c r="D42" s="20"/>
      <c r="E42" s="15" t="s">
        <v>47</v>
      </c>
      <c r="F42" s="18"/>
      <c r="G42" s="150">
        <v>8</v>
      </c>
      <c r="H42" s="183"/>
      <c r="I42" s="13"/>
      <c r="J42" s="28"/>
      <c r="K42" s="15" t="s">
        <v>56</v>
      </c>
      <c r="L42" s="11"/>
      <c r="M42" s="33"/>
      <c r="N42" s="34"/>
      <c r="O42" s="15" t="s">
        <v>56</v>
      </c>
      <c r="P42" s="11"/>
      <c r="Q42" s="33"/>
      <c r="R42" s="34"/>
      <c r="S42" s="15" t="s">
        <v>56</v>
      </c>
      <c r="T42" s="11"/>
      <c r="U42" s="33"/>
      <c r="V42" s="38"/>
      <c r="W42" s="346"/>
      <c r="X42" s="342"/>
      <c r="Y42" s="342"/>
      <c r="Z42" s="342"/>
      <c r="AA42" s="342"/>
      <c r="AB42" s="344"/>
      <c r="AC42" s="346"/>
      <c r="AD42" s="342"/>
      <c r="AE42" s="342"/>
      <c r="AF42" s="342"/>
      <c r="AG42" s="342"/>
      <c r="AH42" s="344"/>
      <c r="AI42" s="346"/>
      <c r="AJ42" s="342"/>
      <c r="AK42" s="344"/>
      <c r="AL42" s="337"/>
      <c r="AM42" s="54" t="s">
        <v>98</v>
      </c>
      <c r="AN42" s="56"/>
      <c r="AO42" s="54" t="s">
        <v>13</v>
      </c>
      <c r="AP42" s="59"/>
      <c r="AQ42" s="337"/>
      <c r="AR42" s="54" t="s">
        <v>98</v>
      </c>
      <c r="AS42" s="56"/>
      <c r="AT42" s="54" t="s">
        <v>13</v>
      </c>
      <c r="AU42" s="59"/>
    </row>
    <row r="43" spans="1:47" ht="16.5" customHeight="1">
      <c r="A43" s="329"/>
      <c r="B43" s="330"/>
      <c r="C43" s="15" t="s">
        <v>44</v>
      </c>
      <c r="D43" s="19"/>
      <c r="E43" s="15" t="s">
        <v>65</v>
      </c>
      <c r="F43" s="18"/>
      <c r="G43" s="153"/>
      <c r="H43" s="184"/>
      <c r="I43" s="23"/>
      <c r="J43" s="23"/>
      <c r="K43" s="15" t="s">
        <v>57</v>
      </c>
      <c r="L43" s="11"/>
      <c r="M43" s="33"/>
      <c r="N43" s="34"/>
      <c r="O43" s="15" t="s">
        <v>57</v>
      </c>
      <c r="P43" s="11"/>
      <c r="Q43" s="33"/>
      <c r="R43" s="34"/>
      <c r="S43" s="15" t="s">
        <v>57</v>
      </c>
      <c r="T43" s="11"/>
      <c r="U43" s="33"/>
      <c r="V43" s="38"/>
      <c r="W43" s="346"/>
      <c r="X43" s="342"/>
      <c r="Y43" s="342"/>
      <c r="Z43" s="342"/>
      <c r="AA43" s="342"/>
      <c r="AB43" s="344"/>
      <c r="AC43" s="346"/>
      <c r="AD43" s="342"/>
      <c r="AE43" s="342"/>
      <c r="AF43" s="342"/>
      <c r="AG43" s="342"/>
      <c r="AH43" s="344"/>
      <c r="AI43" s="346">
        <v>7</v>
      </c>
      <c r="AJ43" s="342"/>
      <c r="AK43" s="344"/>
      <c r="AL43" s="337"/>
      <c r="AM43" s="54" t="s">
        <v>99</v>
      </c>
      <c r="AN43" s="57"/>
      <c r="AO43" s="54" t="s">
        <v>13</v>
      </c>
      <c r="AP43" s="60"/>
      <c r="AQ43" s="337"/>
      <c r="AR43" s="54" t="s">
        <v>99</v>
      </c>
      <c r="AS43" s="57"/>
      <c r="AT43" s="54" t="s">
        <v>13</v>
      </c>
      <c r="AU43" s="60"/>
    </row>
    <row r="44" spans="1:47" ht="16.5" customHeight="1">
      <c r="A44" s="329"/>
      <c r="B44" s="330"/>
      <c r="C44" s="15" t="s">
        <v>229</v>
      </c>
      <c r="D44" s="4"/>
      <c r="E44" s="15" t="s">
        <v>48</v>
      </c>
      <c r="F44" s="18"/>
      <c r="G44" s="331" t="s">
        <v>12</v>
      </c>
      <c r="H44" s="332"/>
      <c r="I44" s="332"/>
      <c r="J44" s="332"/>
      <c r="K44" s="15" t="s">
        <v>58</v>
      </c>
      <c r="L44" s="11"/>
      <c r="M44" s="33"/>
      <c r="N44" s="34"/>
      <c r="O44" s="15" t="s">
        <v>58</v>
      </c>
      <c r="P44" s="11"/>
      <c r="Q44" s="33"/>
      <c r="R44" s="34"/>
      <c r="S44" s="15" t="s">
        <v>58</v>
      </c>
      <c r="T44" s="11"/>
      <c r="U44" s="33"/>
      <c r="V44" s="38"/>
      <c r="W44" s="346"/>
      <c r="X44" s="342"/>
      <c r="Y44" s="342"/>
      <c r="Z44" s="342"/>
      <c r="AA44" s="342"/>
      <c r="AB44" s="344"/>
      <c r="AC44" s="346"/>
      <c r="AD44" s="342"/>
      <c r="AE44" s="342"/>
      <c r="AF44" s="342"/>
      <c r="AG44" s="342"/>
      <c r="AH44" s="344"/>
      <c r="AI44" s="346"/>
      <c r="AJ44" s="342"/>
      <c r="AK44" s="344"/>
      <c r="AL44" s="338"/>
      <c r="AM44" s="55" t="s">
        <v>100</v>
      </c>
      <c r="AN44" s="58"/>
      <c r="AO44" s="55" t="s">
        <v>101</v>
      </c>
      <c r="AP44" s="61"/>
      <c r="AQ44" s="338"/>
      <c r="AR44" s="55" t="s">
        <v>100</v>
      </c>
      <c r="AS44" s="58"/>
      <c r="AT44" s="55" t="s">
        <v>101</v>
      </c>
      <c r="AU44" s="61"/>
    </row>
    <row r="45" spans="1:47" ht="16.5" customHeight="1">
      <c r="A45" s="329"/>
      <c r="B45" s="330"/>
      <c r="C45" s="15" t="s">
        <v>38</v>
      </c>
      <c r="D45" s="19"/>
      <c r="E45" s="15" t="s">
        <v>49</v>
      </c>
      <c r="F45" s="18"/>
      <c r="G45" s="8" t="s">
        <v>13</v>
      </c>
      <c r="H45" s="180" t="s">
        <v>14</v>
      </c>
      <c r="I45" s="6" t="s">
        <v>15</v>
      </c>
      <c r="J45" s="6" t="s">
        <v>16</v>
      </c>
      <c r="K45" s="15" t="s">
        <v>59</v>
      </c>
      <c r="L45" s="11"/>
      <c r="M45" s="33"/>
      <c r="N45" s="34"/>
      <c r="O45" s="15" t="s">
        <v>59</v>
      </c>
      <c r="P45" s="11"/>
      <c r="Q45" s="33"/>
      <c r="R45" s="34"/>
      <c r="S45" s="15" t="s">
        <v>59</v>
      </c>
      <c r="T45" s="11"/>
      <c r="U45" s="33"/>
      <c r="V45" s="38"/>
      <c r="W45" s="346"/>
      <c r="X45" s="342"/>
      <c r="Y45" s="342"/>
      <c r="Z45" s="342"/>
      <c r="AA45" s="342"/>
      <c r="AB45" s="344"/>
      <c r="AC45" s="346"/>
      <c r="AD45" s="342"/>
      <c r="AE45" s="342"/>
      <c r="AF45" s="342"/>
      <c r="AG45" s="342"/>
      <c r="AH45" s="344"/>
      <c r="AI45" s="346"/>
      <c r="AJ45" s="342"/>
      <c r="AK45" s="344"/>
      <c r="AL45" s="336">
        <v>2</v>
      </c>
      <c r="AM45" s="53" t="s">
        <v>0</v>
      </c>
      <c r="AN45" s="339"/>
      <c r="AO45" s="340"/>
      <c r="AP45" s="341"/>
      <c r="AQ45" s="336">
        <v>4</v>
      </c>
      <c r="AR45" s="53" t="s">
        <v>0</v>
      </c>
      <c r="AS45" s="339"/>
      <c r="AT45" s="340"/>
      <c r="AU45" s="341"/>
    </row>
    <row r="46" spans="1:47" ht="16.5" customHeight="1">
      <c r="A46" s="329"/>
      <c r="B46" s="330"/>
      <c r="C46" s="15" t="s">
        <v>39</v>
      </c>
      <c r="D46" s="19"/>
      <c r="E46" s="15" t="s">
        <v>50</v>
      </c>
      <c r="F46" s="18"/>
      <c r="G46" s="154">
        <v>6</v>
      </c>
      <c r="H46" s="181"/>
      <c r="I46" s="10"/>
      <c r="J46" s="26"/>
      <c r="K46" s="15" t="s">
        <v>60</v>
      </c>
      <c r="L46" s="11"/>
      <c r="M46" s="33"/>
      <c r="N46" s="34"/>
      <c r="O46" s="15" t="s">
        <v>60</v>
      </c>
      <c r="P46" s="11"/>
      <c r="Q46" s="33"/>
      <c r="R46" s="34"/>
      <c r="S46" s="15" t="s">
        <v>60</v>
      </c>
      <c r="T46" s="11"/>
      <c r="U46" s="33"/>
      <c r="V46" s="38"/>
      <c r="W46" s="346"/>
      <c r="X46" s="342"/>
      <c r="Y46" s="342"/>
      <c r="Z46" s="342"/>
      <c r="AA46" s="342"/>
      <c r="AB46" s="344"/>
      <c r="AC46" s="346"/>
      <c r="AD46" s="342"/>
      <c r="AE46" s="342"/>
      <c r="AF46" s="342"/>
      <c r="AG46" s="342"/>
      <c r="AH46" s="344"/>
      <c r="AI46" s="346">
        <v>8</v>
      </c>
      <c r="AJ46" s="342"/>
      <c r="AK46" s="344"/>
      <c r="AL46" s="337"/>
      <c r="AM46" s="54" t="s">
        <v>97</v>
      </c>
      <c r="AN46" s="176"/>
      <c r="AO46" s="179" t="s">
        <v>212</v>
      </c>
      <c r="AP46" s="177"/>
      <c r="AQ46" s="337"/>
      <c r="AR46" s="54" t="s">
        <v>97</v>
      </c>
      <c r="AS46" s="176"/>
      <c r="AT46" s="179" t="s">
        <v>212</v>
      </c>
      <c r="AU46" s="177"/>
    </row>
    <row r="47" spans="1:47" ht="16.5" customHeight="1">
      <c r="A47" s="329"/>
      <c r="B47" s="330"/>
      <c r="C47" s="15" t="s">
        <v>40</v>
      </c>
      <c r="D47" s="19"/>
      <c r="E47" s="15" t="s">
        <v>51</v>
      </c>
      <c r="F47" s="18"/>
      <c r="G47" s="155">
        <v>7</v>
      </c>
      <c r="H47" s="182"/>
      <c r="I47" s="12"/>
      <c r="J47" s="27"/>
      <c r="K47" s="15" t="s">
        <v>61</v>
      </c>
      <c r="L47" s="11"/>
      <c r="M47" s="33"/>
      <c r="N47" s="34"/>
      <c r="O47" s="15" t="s">
        <v>61</v>
      </c>
      <c r="P47" s="11"/>
      <c r="Q47" s="33"/>
      <c r="R47" s="34"/>
      <c r="S47" s="15" t="s">
        <v>61</v>
      </c>
      <c r="T47" s="11"/>
      <c r="U47" s="33"/>
      <c r="V47" s="38"/>
      <c r="W47" s="346"/>
      <c r="X47" s="342"/>
      <c r="Y47" s="342"/>
      <c r="Z47" s="342"/>
      <c r="AA47" s="342"/>
      <c r="AB47" s="344"/>
      <c r="AC47" s="346"/>
      <c r="AD47" s="342"/>
      <c r="AE47" s="342"/>
      <c r="AF47" s="342"/>
      <c r="AG47" s="342"/>
      <c r="AH47" s="344"/>
      <c r="AI47" s="346"/>
      <c r="AJ47" s="342"/>
      <c r="AK47" s="344"/>
      <c r="AL47" s="337"/>
      <c r="AM47" s="54" t="s">
        <v>98</v>
      </c>
      <c r="AN47" s="56"/>
      <c r="AO47" s="54" t="s">
        <v>13</v>
      </c>
      <c r="AP47" s="59"/>
      <c r="AQ47" s="337"/>
      <c r="AR47" s="54" t="s">
        <v>98</v>
      </c>
      <c r="AS47" s="56"/>
      <c r="AT47" s="54" t="s">
        <v>13</v>
      </c>
      <c r="AU47" s="59"/>
    </row>
    <row r="48" spans="1:47" ht="16.5" customHeight="1">
      <c r="A48" s="329"/>
      <c r="B48" s="330"/>
      <c r="C48" s="15" t="s">
        <v>41</v>
      </c>
      <c r="D48" s="19"/>
      <c r="E48" s="15" t="s">
        <v>52</v>
      </c>
      <c r="F48" s="18"/>
      <c r="G48" s="155">
        <v>8</v>
      </c>
      <c r="H48" s="185"/>
      <c r="I48" s="25"/>
      <c r="J48" s="29"/>
      <c r="K48" s="15" t="s">
        <v>62</v>
      </c>
      <c r="L48" s="11"/>
      <c r="M48" s="33"/>
      <c r="N48" s="34"/>
      <c r="O48" s="15" t="s">
        <v>62</v>
      </c>
      <c r="P48" s="11"/>
      <c r="Q48" s="33"/>
      <c r="R48" s="34"/>
      <c r="S48" s="15" t="s">
        <v>62</v>
      </c>
      <c r="T48" s="11"/>
      <c r="U48" s="33"/>
      <c r="V48" s="38"/>
      <c r="W48" s="346"/>
      <c r="X48" s="342"/>
      <c r="Y48" s="342"/>
      <c r="Z48" s="342"/>
      <c r="AA48" s="342"/>
      <c r="AB48" s="344"/>
      <c r="AC48" s="346"/>
      <c r="AD48" s="342"/>
      <c r="AE48" s="342"/>
      <c r="AF48" s="342"/>
      <c r="AG48" s="342"/>
      <c r="AH48" s="344"/>
      <c r="AI48" s="356"/>
      <c r="AJ48" s="343"/>
      <c r="AK48" s="345"/>
      <c r="AL48" s="337"/>
      <c r="AM48" s="54" t="s">
        <v>99</v>
      </c>
      <c r="AN48" s="57"/>
      <c r="AO48" s="54" t="s">
        <v>13</v>
      </c>
      <c r="AP48" s="60"/>
      <c r="AQ48" s="337"/>
      <c r="AR48" s="54" t="s">
        <v>99</v>
      </c>
      <c r="AS48" s="57"/>
      <c r="AT48" s="54" t="s">
        <v>13</v>
      </c>
      <c r="AU48" s="60"/>
    </row>
    <row r="49" spans="1:47" ht="16.5" customHeight="1">
      <c r="A49" s="329"/>
      <c r="B49" s="330"/>
      <c r="C49" s="15" t="s">
        <v>42</v>
      </c>
      <c r="D49" s="19"/>
      <c r="E49" s="16" t="s">
        <v>53</v>
      </c>
      <c r="F49" s="22"/>
      <c r="G49" s="160"/>
      <c r="H49" s="186"/>
      <c r="I49" s="161"/>
      <c r="J49" s="161"/>
      <c r="K49" s="15" t="s">
        <v>63</v>
      </c>
      <c r="L49" s="11"/>
      <c r="M49" s="33"/>
      <c r="N49" s="34"/>
      <c r="O49" s="15" t="s">
        <v>63</v>
      </c>
      <c r="P49" s="11"/>
      <c r="Q49" s="33"/>
      <c r="R49" s="34"/>
      <c r="S49" s="15" t="s">
        <v>63</v>
      </c>
      <c r="T49" s="11"/>
      <c r="U49" s="33"/>
      <c r="V49" s="38"/>
      <c r="W49" s="356"/>
      <c r="X49" s="343"/>
      <c r="Y49" s="343"/>
      <c r="Z49" s="343"/>
      <c r="AA49" s="343"/>
      <c r="AB49" s="345"/>
      <c r="AC49" s="356"/>
      <c r="AD49" s="343"/>
      <c r="AE49" s="343"/>
      <c r="AF49" s="343"/>
      <c r="AG49" s="343"/>
      <c r="AH49" s="345"/>
      <c r="AI49" s="172"/>
      <c r="AJ49" s="173"/>
      <c r="AK49" s="174"/>
      <c r="AL49" s="338"/>
      <c r="AM49" s="55" t="s">
        <v>100</v>
      </c>
      <c r="AN49" s="58"/>
      <c r="AO49" s="55" t="s">
        <v>101</v>
      </c>
      <c r="AP49" s="61"/>
      <c r="AQ49" s="338"/>
      <c r="AR49" s="55" t="s">
        <v>100</v>
      </c>
      <c r="AS49" s="58"/>
      <c r="AT49" s="55" t="s">
        <v>101</v>
      </c>
      <c r="AU49" s="61"/>
    </row>
    <row r="50" spans="1:47" ht="16.5" customHeight="1">
      <c r="A50" s="329"/>
      <c r="B50" s="330"/>
      <c r="C50" s="16" t="s">
        <v>43</v>
      </c>
      <c r="D50" s="21"/>
      <c r="E50" s="189" t="s">
        <v>293</v>
      </c>
      <c r="F50" s="190" t="s">
        <v>186</v>
      </c>
      <c r="G50" s="162"/>
      <c r="H50" s="187"/>
      <c r="I50" s="163"/>
      <c r="J50" s="163"/>
      <c r="K50" s="30" t="s">
        <v>64</v>
      </c>
      <c r="L50" s="24"/>
      <c r="M50" s="35"/>
      <c r="N50" s="36"/>
      <c r="O50" s="30" t="s">
        <v>64</v>
      </c>
      <c r="P50" s="24"/>
      <c r="Q50" s="35"/>
      <c r="R50" s="36"/>
      <c r="S50" s="30" t="s">
        <v>64</v>
      </c>
      <c r="T50" s="24"/>
      <c r="U50" s="35"/>
      <c r="V50" s="39"/>
      <c r="W50" s="156"/>
      <c r="X50" s="157"/>
      <c r="Y50" s="165"/>
      <c r="Z50" s="165"/>
      <c r="AA50" s="166"/>
      <c r="AB50" s="167"/>
      <c r="AC50" s="168"/>
      <c r="AD50" s="169"/>
      <c r="AE50" s="170"/>
      <c r="AF50" s="170"/>
      <c r="AG50" s="170"/>
      <c r="AH50" s="171"/>
      <c r="AI50" s="168"/>
      <c r="AJ50" s="169"/>
      <c r="AK50" s="171"/>
      <c r="AL50" s="175"/>
      <c r="AM50" s="158"/>
      <c r="AN50" s="158"/>
      <c r="AO50" s="158"/>
      <c r="AP50" s="159"/>
      <c r="AQ50" s="175"/>
      <c r="AR50" s="158"/>
      <c r="AS50" s="158"/>
      <c r="AT50" s="158"/>
      <c r="AU50" s="159"/>
    </row>
    <row r="51" spans="1:47" ht="16.5" customHeight="1"/>
    <row r="52" spans="1:47" ht="16.5" customHeight="1">
      <c r="A52" s="329">
        <v>5</v>
      </c>
      <c r="B52" s="330" t="s">
        <v>253</v>
      </c>
      <c r="C52" s="14" t="s">
        <v>45</v>
      </c>
      <c r="D52" s="52"/>
      <c r="E52" s="14" t="s">
        <v>46</v>
      </c>
      <c r="F52" s="17"/>
      <c r="G52" s="149">
        <v>6</v>
      </c>
      <c r="H52" s="181"/>
      <c r="I52" s="10"/>
      <c r="J52" s="26"/>
      <c r="K52" s="14" t="s">
        <v>54</v>
      </c>
      <c r="L52" s="9"/>
      <c r="M52" s="31"/>
      <c r="N52" s="32"/>
      <c r="O52" s="14" t="s">
        <v>54</v>
      </c>
      <c r="P52" s="9"/>
      <c r="Q52" s="31"/>
      <c r="R52" s="32"/>
      <c r="S52" s="14" t="s">
        <v>54</v>
      </c>
      <c r="T52" s="9"/>
      <c r="U52" s="31"/>
      <c r="V52" s="37"/>
      <c r="W52" s="353"/>
      <c r="X52" s="354"/>
      <c r="Y52" s="354"/>
      <c r="Z52" s="354"/>
      <c r="AA52" s="354"/>
      <c r="AB52" s="355"/>
      <c r="AC52" s="353"/>
      <c r="AD52" s="354"/>
      <c r="AE52" s="354"/>
      <c r="AF52" s="354"/>
      <c r="AG52" s="354"/>
      <c r="AH52" s="355"/>
      <c r="AI52" s="353">
        <v>6</v>
      </c>
      <c r="AJ52" s="354"/>
      <c r="AK52" s="355"/>
      <c r="AL52" s="336">
        <v>1</v>
      </c>
      <c r="AM52" s="53" t="s">
        <v>0</v>
      </c>
      <c r="AN52" s="339"/>
      <c r="AO52" s="340"/>
      <c r="AP52" s="341"/>
      <c r="AQ52" s="336">
        <v>3</v>
      </c>
      <c r="AR52" s="53" t="s">
        <v>0</v>
      </c>
      <c r="AS52" s="339"/>
      <c r="AT52" s="340"/>
      <c r="AU52" s="341"/>
    </row>
    <row r="53" spans="1:47" ht="16.5" customHeight="1">
      <c r="A53" s="329"/>
      <c r="B53" s="330"/>
      <c r="C53" s="15" t="s">
        <v>36</v>
      </c>
      <c r="D53" s="19"/>
      <c r="E53" s="15" t="s">
        <v>73</v>
      </c>
      <c r="F53" s="18"/>
      <c r="G53" s="150">
        <v>7</v>
      </c>
      <c r="H53" s="182"/>
      <c r="I53" s="12"/>
      <c r="J53" s="27"/>
      <c r="K53" s="15" t="s">
        <v>55</v>
      </c>
      <c r="L53" s="11"/>
      <c r="M53" s="33"/>
      <c r="N53" s="34"/>
      <c r="O53" s="15" t="s">
        <v>55</v>
      </c>
      <c r="P53" s="11"/>
      <c r="Q53" s="33"/>
      <c r="R53" s="34"/>
      <c r="S53" s="15" t="s">
        <v>55</v>
      </c>
      <c r="T53" s="11"/>
      <c r="U53" s="33"/>
      <c r="V53" s="38"/>
      <c r="W53" s="346"/>
      <c r="X53" s="342"/>
      <c r="Y53" s="342"/>
      <c r="Z53" s="342"/>
      <c r="AA53" s="342"/>
      <c r="AB53" s="344"/>
      <c r="AC53" s="346"/>
      <c r="AD53" s="342"/>
      <c r="AE53" s="342"/>
      <c r="AF53" s="342"/>
      <c r="AG53" s="342"/>
      <c r="AH53" s="344"/>
      <c r="AI53" s="346"/>
      <c r="AJ53" s="342"/>
      <c r="AK53" s="344"/>
      <c r="AL53" s="337"/>
      <c r="AM53" s="54" t="s">
        <v>97</v>
      </c>
      <c r="AN53" s="176"/>
      <c r="AO53" s="54" t="s">
        <v>212</v>
      </c>
      <c r="AP53" s="178"/>
      <c r="AQ53" s="337"/>
      <c r="AR53" s="54" t="s">
        <v>97</v>
      </c>
      <c r="AS53" s="176"/>
      <c r="AT53" s="179" t="s">
        <v>212</v>
      </c>
      <c r="AU53" s="177"/>
    </row>
    <row r="54" spans="1:47" ht="16.5" customHeight="1">
      <c r="A54" s="329"/>
      <c r="B54" s="330"/>
      <c r="C54" s="15" t="s">
        <v>37</v>
      </c>
      <c r="D54" s="20"/>
      <c r="E54" s="15" t="s">
        <v>47</v>
      </c>
      <c r="F54" s="18"/>
      <c r="G54" s="150">
        <v>8</v>
      </c>
      <c r="H54" s="183"/>
      <c r="I54" s="13"/>
      <c r="J54" s="28"/>
      <c r="K54" s="15" t="s">
        <v>56</v>
      </c>
      <c r="L54" s="11"/>
      <c r="M54" s="33"/>
      <c r="N54" s="34"/>
      <c r="O54" s="15" t="s">
        <v>56</v>
      </c>
      <c r="P54" s="11"/>
      <c r="Q54" s="33"/>
      <c r="R54" s="34"/>
      <c r="S54" s="15" t="s">
        <v>56</v>
      </c>
      <c r="T54" s="11"/>
      <c r="U54" s="33"/>
      <c r="V54" s="38"/>
      <c r="W54" s="346"/>
      <c r="X54" s="342"/>
      <c r="Y54" s="342"/>
      <c r="Z54" s="342"/>
      <c r="AA54" s="342"/>
      <c r="AB54" s="344"/>
      <c r="AC54" s="346"/>
      <c r="AD54" s="342"/>
      <c r="AE54" s="342"/>
      <c r="AF54" s="342"/>
      <c r="AG54" s="342"/>
      <c r="AH54" s="344"/>
      <c r="AI54" s="346"/>
      <c r="AJ54" s="342"/>
      <c r="AK54" s="344"/>
      <c r="AL54" s="337"/>
      <c r="AM54" s="54" t="s">
        <v>98</v>
      </c>
      <c r="AN54" s="56"/>
      <c r="AO54" s="54" t="s">
        <v>13</v>
      </c>
      <c r="AP54" s="59"/>
      <c r="AQ54" s="337"/>
      <c r="AR54" s="54" t="s">
        <v>98</v>
      </c>
      <c r="AS54" s="56"/>
      <c r="AT54" s="54" t="s">
        <v>13</v>
      </c>
      <c r="AU54" s="59"/>
    </row>
    <row r="55" spans="1:47" ht="16.5" customHeight="1">
      <c r="A55" s="329"/>
      <c r="B55" s="330"/>
      <c r="C55" s="15" t="s">
        <v>44</v>
      </c>
      <c r="D55" s="19"/>
      <c r="E55" s="15" t="s">
        <v>65</v>
      </c>
      <c r="F55" s="18"/>
      <c r="G55" s="153"/>
      <c r="H55" s="184"/>
      <c r="I55" s="23"/>
      <c r="J55" s="23"/>
      <c r="K55" s="15" t="s">
        <v>57</v>
      </c>
      <c r="L55" s="11"/>
      <c r="M55" s="33"/>
      <c r="N55" s="34"/>
      <c r="O55" s="15" t="s">
        <v>57</v>
      </c>
      <c r="P55" s="11"/>
      <c r="Q55" s="33"/>
      <c r="R55" s="34"/>
      <c r="S55" s="15" t="s">
        <v>57</v>
      </c>
      <c r="T55" s="11"/>
      <c r="U55" s="33"/>
      <c r="V55" s="38"/>
      <c r="W55" s="346"/>
      <c r="X55" s="342"/>
      <c r="Y55" s="342"/>
      <c r="Z55" s="342"/>
      <c r="AA55" s="342"/>
      <c r="AB55" s="344"/>
      <c r="AC55" s="346"/>
      <c r="AD55" s="342"/>
      <c r="AE55" s="342"/>
      <c r="AF55" s="342"/>
      <c r="AG55" s="342"/>
      <c r="AH55" s="344"/>
      <c r="AI55" s="346">
        <v>7</v>
      </c>
      <c r="AJ55" s="342"/>
      <c r="AK55" s="344"/>
      <c r="AL55" s="337"/>
      <c r="AM55" s="54" t="s">
        <v>99</v>
      </c>
      <c r="AN55" s="57"/>
      <c r="AO55" s="54" t="s">
        <v>13</v>
      </c>
      <c r="AP55" s="60"/>
      <c r="AQ55" s="337"/>
      <c r="AR55" s="54" t="s">
        <v>99</v>
      </c>
      <c r="AS55" s="57"/>
      <c r="AT55" s="54" t="s">
        <v>13</v>
      </c>
      <c r="AU55" s="60"/>
    </row>
    <row r="56" spans="1:47" ht="16.5" customHeight="1">
      <c r="A56" s="329"/>
      <c r="B56" s="330"/>
      <c r="C56" s="15" t="s">
        <v>229</v>
      </c>
      <c r="D56" s="4"/>
      <c r="E56" s="15" t="s">
        <v>48</v>
      </c>
      <c r="F56" s="18"/>
      <c r="G56" s="331" t="s">
        <v>12</v>
      </c>
      <c r="H56" s="332"/>
      <c r="I56" s="332"/>
      <c r="J56" s="332"/>
      <c r="K56" s="15" t="s">
        <v>58</v>
      </c>
      <c r="L56" s="11"/>
      <c r="M56" s="33"/>
      <c r="N56" s="34"/>
      <c r="O56" s="15" t="s">
        <v>58</v>
      </c>
      <c r="P56" s="11"/>
      <c r="Q56" s="33"/>
      <c r="R56" s="34"/>
      <c r="S56" s="15" t="s">
        <v>58</v>
      </c>
      <c r="T56" s="11"/>
      <c r="U56" s="33"/>
      <c r="V56" s="38"/>
      <c r="W56" s="346"/>
      <c r="X56" s="342"/>
      <c r="Y56" s="342"/>
      <c r="Z56" s="342"/>
      <c r="AA56" s="342"/>
      <c r="AB56" s="344"/>
      <c r="AC56" s="346"/>
      <c r="AD56" s="342"/>
      <c r="AE56" s="342"/>
      <c r="AF56" s="342"/>
      <c r="AG56" s="342"/>
      <c r="AH56" s="344"/>
      <c r="AI56" s="346"/>
      <c r="AJ56" s="342"/>
      <c r="AK56" s="344"/>
      <c r="AL56" s="338"/>
      <c r="AM56" s="55" t="s">
        <v>100</v>
      </c>
      <c r="AN56" s="58"/>
      <c r="AO56" s="55" t="s">
        <v>101</v>
      </c>
      <c r="AP56" s="61"/>
      <c r="AQ56" s="338"/>
      <c r="AR56" s="55" t="s">
        <v>100</v>
      </c>
      <c r="AS56" s="58"/>
      <c r="AT56" s="55" t="s">
        <v>101</v>
      </c>
      <c r="AU56" s="61"/>
    </row>
    <row r="57" spans="1:47" ht="16.5" customHeight="1">
      <c r="A57" s="329"/>
      <c r="B57" s="330"/>
      <c r="C57" s="15" t="s">
        <v>38</v>
      </c>
      <c r="D57" s="19"/>
      <c r="E57" s="15" t="s">
        <v>49</v>
      </c>
      <c r="F57" s="18"/>
      <c r="G57" s="8" t="s">
        <v>13</v>
      </c>
      <c r="H57" s="180" t="s">
        <v>14</v>
      </c>
      <c r="I57" s="6" t="s">
        <v>15</v>
      </c>
      <c r="J57" s="6" t="s">
        <v>16</v>
      </c>
      <c r="K57" s="15" t="s">
        <v>59</v>
      </c>
      <c r="L57" s="11"/>
      <c r="M57" s="33"/>
      <c r="N57" s="34"/>
      <c r="O57" s="15" t="s">
        <v>59</v>
      </c>
      <c r="P57" s="11"/>
      <c r="Q57" s="33"/>
      <c r="R57" s="34"/>
      <c r="S57" s="15" t="s">
        <v>59</v>
      </c>
      <c r="T57" s="11"/>
      <c r="U57" s="33"/>
      <c r="V57" s="38"/>
      <c r="W57" s="346"/>
      <c r="X57" s="342"/>
      <c r="Y57" s="342"/>
      <c r="Z57" s="342"/>
      <c r="AA57" s="342"/>
      <c r="AB57" s="344"/>
      <c r="AC57" s="346"/>
      <c r="AD57" s="342"/>
      <c r="AE57" s="342"/>
      <c r="AF57" s="342"/>
      <c r="AG57" s="342"/>
      <c r="AH57" s="344"/>
      <c r="AI57" s="346"/>
      <c r="AJ57" s="342"/>
      <c r="AK57" s="344"/>
      <c r="AL57" s="336">
        <v>2</v>
      </c>
      <c r="AM57" s="53" t="s">
        <v>0</v>
      </c>
      <c r="AN57" s="339"/>
      <c r="AO57" s="340"/>
      <c r="AP57" s="341"/>
      <c r="AQ57" s="336">
        <v>4</v>
      </c>
      <c r="AR57" s="53" t="s">
        <v>0</v>
      </c>
      <c r="AS57" s="339"/>
      <c r="AT57" s="340"/>
      <c r="AU57" s="341"/>
    </row>
    <row r="58" spans="1:47" ht="16.5" customHeight="1">
      <c r="A58" s="329"/>
      <c r="B58" s="330"/>
      <c r="C58" s="15" t="s">
        <v>39</v>
      </c>
      <c r="D58" s="19"/>
      <c r="E58" s="15" t="s">
        <v>50</v>
      </c>
      <c r="F58" s="18"/>
      <c r="G58" s="154">
        <v>6</v>
      </c>
      <c r="H58" s="181"/>
      <c r="I58" s="10"/>
      <c r="J58" s="26"/>
      <c r="K58" s="15" t="s">
        <v>60</v>
      </c>
      <c r="L58" s="11"/>
      <c r="M58" s="33"/>
      <c r="N58" s="34"/>
      <c r="O58" s="15" t="s">
        <v>60</v>
      </c>
      <c r="P58" s="11"/>
      <c r="Q58" s="33"/>
      <c r="R58" s="34"/>
      <c r="S58" s="15" t="s">
        <v>60</v>
      </c>
      <c r="T58" s="11"/>
      <c r="U58" s="33"/>
      <c r="V58" s="38"/>
      <c r="W58" s="346"/>
      <c r="X58" s="342"/>
      <c r="Y58" s="342"/>
      <c r="Z58" s="342"/>
      <c r="AA58" s="342"/>
      <c r="AB58" s="344"/>
      <c r="AC58" s="346"/>
      <c r="AD58" s="342"/>
      <c r="AE58" s="342"/>
      <c r="AF58" s="342"/>
      <c r="AG58" s="342"/>
      <c r="AH58" s="344"/>
      <c r="AI58" s="346">
        <v>8</v>
      </c>
      <c r="AJ58" s="342"/>
      <c r="AK58" s="344"/>
      <c r="AL58" s="337"/>
      <c r="AM58" s="54" t="s">
        <v>97</v>
      </c>
      <c r="AN58" s="176"/>
      <c r="AO58" s="179" t="s">
        <v>212</v>
      </c>
      <c r="AP58" s="177"/>
      <c r="AQ58" s="337"/>
      <c r="AR58" s="54" t="s">
        <v>97</v>
      </c>
      <c r="AS58" s="176"/>
      <c r="AT58" s="179" t="s">
        <v>212</v>
      </c>
      <c r="AU58" s="177"/>
    </row>
    <row r="59" spans="1:47" ht="16.5" customHeight="1">
      <c r="A59" s="329"/>
      <c r="B59" s="330"/>
      <c r="C59" s="15" t="s">
        <v>40</v>
      </c>
      <c r="D59" s="19"/>
      <c r="E59" s="15" t="s">
        <v>51</v>
      </c>
      <c r="F59" s="18"/>
      <c r="G59" s="155">
        <v>7</v>
      </c>
      <c r="H59" s="182"/>
      <c r="I59" s="12"/>
      <c r="J59" s="27"/>
      <c r="K59" s="15" t="s">
        <v>61</v>
      </c>
      <c r="L59" s="11"/>
      <c r="M59" s="33"/>
      <c r="N59" s="34"/>
      <c r="O59" s="15" t="s">
        <v>61</v>
      </c>
      <c r="P59" s="11"/>
      <c r="Q59" s="33"/>
      <c r="R59" s="34"/>
      <c r="S59" s="15" t="s">
        <v>61</v>
      </c>
      <c r="T59" s="11"/>
      <c r="U59" s="33"/>
      <c r="V59" s="38"/>
      <c r="W59" s="346"/>
      <c r="X59" s="342"/>
      <c r="Y59" s="342"/>
      <c r="Z59" s="342"/>
      <c r="AA59" s="342"/>
      <c r="AB59" s="344"/>
      <c r="AC59" s="346"/>
      <c r="AD59" s="342"/>
      <c r="AE59" s="342"/>
      <c r="AF59" s="342"/>
      <c r="AG59" s="342"/>
      <c r="AH59" s="344"/>
      <c r="AI59" s="346"/>
      <c r="AJ59" s="342"/>
      <c r="AK59" s="344"/>
      <c r="AL59" s="337"/>
      <c r="AM59" s="54" t="s">
        <v>98</v>
      </c>
      <c r="AN59" s="56"/>
      <c r="AO59" s="54" t="s">
        <v>13</v>
      </c>
      <c r="AP59" s="59"/>
      <c r="AQ59" s="337"/>
      <c r="AR59" s="54" t="s">
        <v>98</v>
      </c>
      <c r="AS59" s="56"/>
      <c r="AT59" s="54" t="s">
        <v>13</v>
      </c>
      <c r="AU59" s="59"/>
    </row>
    <row r="60" spans="1:47" ht="16.5" customHeight="1">
      <c r="A60" s="329"/>
      <c r="B60" s="330"/>
      <c r="C60" s="15" t="s">
        <v>41</v>
      </c>
      <c r="D60" s="19"/>
      <c r="E60" s="15" t="s">
        <v>52</v>
      </c>
      <c r="F60" s="18"/>
      <c r="G60" s="155">
        <v>8</v>
      </c>
      <c r="H60" s="185"/>
      <c r="I60" s="25"/>
      <c r="J60" s="29"/>
      <c r="K60" s="15" t="s">
        <v>62</v>
      </c>
      <c r="L60" s="11"/>
      <c r="M60" s="33"/>
      <c r="N60" s="34"/>
      <c r="O60" s="15" t="s">
        <v>62</v>
      </c>
      <c r="P60" s="11"/>
      <c r="Q60" s="33"/>
      <c r="R60" s="34"/>
      <c r="S60" s="15" t="s">
        <v>62</v>
      </c>
      <c r="T60" s="11"/>
      <c r="U60" s="33"/>
      <c r="V60" s="38"/>
      <c r="W60" s="346"/>
      <c r="X60" s="342"/>
      <c r="Y60" s="342"/>
      <c r="Z60" s="342"/>
      <c r="AA60" s="342"/>
      <c r="AB60" s="344"/>
      <c r="AC60" s="346"/>
      <c r="AD60" s="342"/>
      <c r="AE60" s="342"/>
      <c r="AF60" s="342"/>
      <c r="AG60" s="342"/>
      <c r="AH60" s="344"/>
      <c r="AI60" s="356"/>
      <c r="AJ60" s="343"/>
      <c r="AK60" s="345"/>
      <c r="AL60" s="337"/>
      <c r="AM60" s="54" t="s">
        <v>99</v>
      </c>
      <c r="AN60" s="57"/>
      <c r="AO60" s="54" t="s">
        <v>13</v>
      </c>
      <c r="AP60" s="60"/>
      <c r="AQ60" s="337"/>
      <c r="AR60" s="54" t="s">
        <v>99</v>
      </c>
      <c r="AS60" s="57"/>
      <c r="AT60" s="54" t="s">
        <v>13</v>
      </c>
      <c r="AU60" s="60"/>
    </row>
    <row r="61" spans="1:47" ht="16.5" customHeight="1">
      <c r="A61" s="329"/>
      <c r="B61" s="330"/>
      <c r="C61" s="15" t="s">
        <v>42</v>
      </c>
      <c r="D61" s="19"/>
      <c r="E61" s="16" t="s">
        <v>53</v>
      </c>
      <c r="F61" s="22"/>
      <c r="G61" s="160"/>
      <c r="H61" s="186"/>
      <c r="I61" s="161"/>
      <c r="J61" s="161"/>
      <c r="K61" s="15" t="s">
        <v>63</v>
      </c>
      <c r="L61" s="11"/>
      <c r="M61" s="33"/>
      <c r="N61" s="34"/>
      <c r="O61" s="15" t="s">
        <v>63</v>
      </c>
      <c r="P61" s="11"/>
      <c r="Q61" s="33"/>
      <c r="R61" s="34"/>
      <c r="S61" s="15" t="s">
        <v>63</v>
      </c>
      <c r="T61" s="11"/>
      <c r="U61" s="33"/>
      <c r="V61" s="38"/>
      <c r="W61" s="356"/>
      <c r="X61" s="343"/>
      <c r="Y61" s="343"/>
      <c r="Z61" s="343"/>
      <c r="AA61" s="343"/>
      <c r="AB61" s="345"/>
      <c r="AC61" s="356"/>
      <c r="AD61" s="343"/>
      <c r="AE61" s="343"/>
      <c r="AF61" s="343"/>
      <c r="AG61" s="343"/>
      <c r="AH61" s="345"/>
      <c r="AI61" s="172"/>
      <c r="AJ61" s="173"/>
      <c r="AK61" s="174"/>
      <c r="AL61" s="338"/>
      <c r="AM61" s="55" t="s">
        <v>100</v>
      </c>
      <c r="AN61" s="58"/>
      <c r="AO61" s="55" t="s">
        <v>101</v>
      </c>
      <c r="AP61" s="61"/>
      <c r="AQ61" s="338"/>
      <c r="AR61" s="55" t="s">
        <v>100</v>
      </c>
      <c r="AS61" s="58"/>
      <c r="AT61" s="55" t="s">
        <v>101</v>
      </c>
      <c r="AU61" s="61"/>
    </row>
    <row r="62" spans="1:47" ht="16.5" customHeight="1">
      <c r="A62" s="329"/>
      <c r="B62" s="330"/>
      <c r="C62" s="16" t="s">
        <v>43</v>
      </c>
      <c r="D62" s="21"/>
      <c r="E62" s="189" t="s">
        <v>293</v>
      </c>
      <c r="F62" s="190" t="s">
        <v>186</v>
      </c>
      <c r="G62" s="162"/>
      <c r="H62" s="187"/>
      <c r="I62" s="163"/>
      <c r="J62" s="163"/>
      <c r="K62" s="30" t="s">
        <v>64</v>
      </c>
      <c r="L62" s="24"/>
      <c r="M62" s="35"/>
      <c r="N62" s="36"/>
      <c r="O62" s="30" t="s">
        <v>64</v>
      </c>
      <c r="P62" s="24"/>
      <c r="Q62" s="35"/>
      <c r="R62" s="36"/>
      <c r="S62" s="30" t="s">
        <v>64</v>
      </c>
      <c r="T62" s="24"/>
      <c r="U62" s="35"/>
      <c r="V62" s="39"/>
      <c r="W62" s="156"/>
      <c r="X62" s="157"/>
      <c r="Y62" s="165"/>
      <c r="Z62" s="165"/>
      <c r="AA62" s="166"/>
      <c r="AB62" s="167"/>
      <c r="AC62" s="168"/>
      <c r="AD62" s="169"/>
      <c r="AE62" s="170"/>
      <c r="AF62" s="170"/>
      <c r="AG62" s="170"/>
      <c r="AH62" s="171"/>
      <c r="AI62" s="168"/>
      <c r="AJ62" s="169"/>
      <c r="AK62" s="171"/>
      <c r="AL62" s="175"/>
      <c r="AM62" s="158"/>
      <c r="AN62" s="158"/>
      <c r="AO62" s="158"/>
      <c r="AP62" s="159"/>
      <c r="AQ62" s="175"/>
      <c r="AR62" s="158"/>
      <c r="AS62" s="158"/>
      <c r="AT62" s="158"/>
      <c r="AU62" s="159"/>
    </row>
    <row r="63" spans="1:47" ht="16.5" customHeight="1"/>
    <row r="64" spans="1:47" ht="16.5" customHeight="1">
      <c r="A64" s="329">
        <v>6</v>
      </c>
      <c r="B64" s="330" t="s">
        <v>254</v>
      </c>
      <c r="C64" s="14" t="s">
        <v>45</v>
      </c>
      <c r="D64" s="52"/>
      <c r="E64" s="14" t="s">
        <v>46</v>
      </c>
      <c r="F64" s="17"/>
      <c r="G64" s="149">
        <v>6</v>
      </c>
      <c r="H64" s="181"/>
      <c r="I64" s="10"/>
      <c r="J64" s="26"/>
      <c r="K64" s="14" t="s">
        <v>54</v>
      </c>
      <c r="L64" s="9"/>
      <c r="M64" s="31"/>
      <c r="N64" s="32"/>
      <c r="O64" s="14" t="s">
        <v>54</v>
      </c>
      <c r="P64" s="9"/>
      <c r="Q64" s="31"/>
      <c r="R64" s="32"/>
      <c r="S64" s="14" t="s">
        <v>54</v>
      </c>
      <c r="T64" s="9"/>
      <c r="U64" s="31"/>
      <c r="V64" s="37"/>
      <c r="W64" s="353"/>
      <c r="X64" s="354"/>
      <c r="Y64" s="354"/>
      <c r="Z64" s="354"/>
      <c r="AA64" s="354"/>
      <c r="AB64" s="355"/>
      <c r="AC64" s="353"/>
      <c r="AD64" s="354"/>
      <c r="AE64" s="354"/>
      <c r="AF64" s="354"/>
      <c r="AG64" s="354"/>
      <c r="AH64" s="355"/>
      <c r="AI64" s="353">
        <v>6</v>
      </c>
      <c r="AJ64" s="354"/>
      <c r="AK64" s="355"/>
      <c r="AL64" s="336">
        <v>1</v>
      </c>
      <c r="AM64" s="53" t="s">
        <v>0</v>
      </c>
      <c r="AN64" s="339"/>
      <c r="AO64" s="340"/>
      <c r="AP64" s="341"/>
      <c r="AQ64" s="336">
        <v>3</v>
      </c>
      <c r="AR64" s="53" t="s">
        <v>0</v>
      </c>
      <c r="AS64" s="339"/>
      <c r="AT64" s="340"/>
      <c r="AU64" s="341"/>
    </row>
    <row r="65" spans="1:47" ht="16.5" customHeight="1">
      <c r="A65" s="329"/>
      <c r="B65" s="330"/>
      <c r="C65" s="15" t="s">
        <v>36</v>
      </c>
      <c r="D65" s="19"/>
      <c r="E65" s="15" t="s">
        <v>73</v>
      </c>
      <c r="F65" s="18"/>
      <c r="G65" s="150">
        <v>7</v>
      </c>
      <c r="H65" s="182"/>
      <c r="I65" s="12"/>
      <c r="J65" s="27"/>
      <c r="K65" s="15" t="s">
        <v>55</v>
      </c>
      <c r="L65" s="11"/>
      <c r="M65" s="33"/>
      <c r="N65" s="34"/>
      <c r="O65" s="15" t="s">
        <v>55</v>
      </c>
      <c r="P65" s="11"/>
      <c r="Q65" s="33"/>
      <c r="R65" s="34"/>
      <c r="S65" s="15" t="s">
        <v>55</v>
      </c>
      <c r="T65" s="11"/>
      <c r="U65" s="33"/>
      <c r="V65" s="38"/>
      <c r="W65" s="346"/>
      <c r="X65" s="342"/>
      <c r="Y65" s="342"/>
      <c r="Z65" s="342"/>
      <c r="AA65" s="342"/>
      <c r="AB65" s="344"/>
      <c r="AC65" s="346"/>
      <c r="AD65" s="342"/>
      <c r="AE65" s="342"/>
      <c r="AF65" s="342"/>
      <c r="AG65" s="342"/>
      <c r="AH65" s="344"/>
      <c r="AI65" s="346"/>
      <c r="AJ65" s="342"/>
      <c r="AK65" s="344"/>
      <c r="AL65" s="337"/>
      <c r="AM65" s="54" t="s">
        <v>97</v>
      </c>
      <c r="AN65" s="176"/>
      <c r="AO65" s="54" t="s">
        <v>212</v>
      </c>
      <c r="AP65" s="178"/>
      <c r="AQ65" s="337"/>
      <c r="AR65" s="54" t="s">
        <v>97</v>
      </c>
      <c r="AS65" s="176"/>
      <c r="AT65" s="179" t="s">
        <v>212</v>
      </c>
      <c r="AU65" s="177"/>
    </row>
    <row r="66" spans="1:47" ht="16.5" customHeight="1">
      <c r="A66" s="329"/>
      <c r="B66" s="330"/>
      <c r="C66" s="15" t="s">
        <v>37</v>
      </c>
      <c r="D66" s="20"/>
      <c r="E66" s="15" t="s">
        <v>47</v>
      </c>
      <c r="F66" s="18"/>
      <c r="G66" s="150">
        <v>8</v>
      </c>
      <c r="H66" s="183"/>
      <c r="I66" s="13"/>
      <c r="J66" s="28"/>
      <c r="K66" s="15" t="s">
        <v>56</v>
      </c>
      <c r="L66" s="11"/>
      <c r="M66" s="33"/>
      <c r="N66" s="34"/>
      <c r="O66" s="15" t="s">
        <v>56</v>
      </c>
      <c r="P66" s="11"/>
      <c r="Q66" s="33"/>
      <c r="R66" s="34"/>
      <c r="S66" s="15" t="s">
        <v>56</v>
      </c>
      <c r="T66" s="11"/>
      <c r="U66" s="33"/>
      <c r="V66" s="38"/>
      <c r="W66" s="346"/>
      <c r="X66" s="342"/>
      <c r="Y66" s="342"/>
      <c r="Z66" s="342"/>
      <c r="AA66" s="342"/>
      <c r="AB66" s="344"/>
      <c r="AC66" s="346"/>
      <c r="AD66" s="342"/>
      <c r="AE66" s="342"/>
      <c r="AF66" s="342"/>
      <c r="AG66" s="342"/>
      <c r="AH66" s="344"/>
      <c r="AI66" s="346"/>
      <c r="AJ66" s="342"/>
      <c r="AK66" s="344"/>
      <c r="AL66" s="337"/>
      <c r="AM66" s="54" t="s">
        <v>98</v>
      </c>
      <c r="AN66" s="56"/>
      <c r="AO66" s="54" t="s">
        <v>13</v>
      </c>
      <c r="AP66" s="59"/>
      <c r="AQ66" s="337"/>
      <c r="AR66" s="54" t="s">
        <v>98</v>
      </c>
      <c r="AS66" s="56"/>
      <c r="AT66" s="54" t="s">
        <v>13</v>
      </c>
      <c r="AU66" s="59"/>
    </row>
    <row r="67" spans="1:47" ht="16.5" customHeight="1">
      <c r="A67" s="329"/>
      <c r="B67" s="330"/>
      <c r="C67" s="15" t="s">
        <v>44</v>
      </c>
      <c r="D67" s="19"/>
      <c r="E67" s="15" t="s">
        <v>65</v>
      </c>
      <c r="F67" s="18"/>
      <c r="G67" s="153"/>
      <c r="H67" s="184"/>
      <c r="I67" s="23"/>
      <c r="J67" s="23"/>
      <c r="K67" s="15" t="s">
        <v>57</v>
      </c>
      <c r="L67" s="11"/>
      <c r="M67" s="33"/>
      <c r="N67" s="34"/>
      <c r="O67" s="15" t="s">
        <v>57</v>
      </c>
      <c r="P67" s="11"/>
      <c r="Q67" s="33"/>
      <c r="R67" s="34"/>
      <c r="S67" s="15" t="s">
        <v>57</v>
      </c>
      <c r="T67" s="11"/>
      <c r="U67" s="33"/>
      <c r="V67" s="38"/>
      <c r="W67" s="346"/>
      <c r="X67" s="342"/>
      <c r="Y67" s="342"/>
      <c r="Z67" s="342"/>
      <c r="AA67" s="342"/>
      <c r="AB67" s="344"/>
      <c r="AC67" s="346"/>
      <c r="AD67" s="342"/>
      <c r="AE67" s="342"/>
      <c r="AF67" s="342"/>
      <c r="AG67" s="342"/>
      <c r="AH67" s="344"/>
      <c r="AI67" s="346">
        <v>7</v>
      </c>
      <c r="AJ67" s="342"/>
      <c r="AK67" s="344"/>
      <c r="AL67" s="337"/>
      <c r="AM67" s="54" t="s">
        <v>99</v>
      </c>
      <c r="AN67" s="57"/>
      <c r="AO67" s="54" t="s">
        <v>13</v>
      </c>
      <c r="AP67" s="60"/>
      <c r="AQ67" s="337"/>
      <c r="AR67" s="54" t="s">
        <v>99</v>
      </c>
      <c r="AS67" s="57"/>
      <c r="AT67" s="54" t="s">
        <v>13</v>
      </c>
      <c r="AU67" s="60"/>
    </row>
    <row r="68" spans="1:47" ht="16.5" customHeight="1">
      <c r="A68" s="329"/>
      <c r="B68" s="330"/>
      <c r="C68" s="15" t="s">
        <v>229</v>
      </c>
      <c r="D68" s="4"/>
      <c r="E68" s="15" t="s">
        <v>48</v>
      </c>
      <c r="F68" s="18"/>
      <c r="G68" s="331" t="s">
        <v>12</v>
      </c>
      <c r="H68" s="332"/>
      <c r="I68" s="332"/>
      <c r="J68" s="332"/>
      <c r="K68" s="15" t="s">
        <v>58</v>
      </c>
      <c r="L68" s="11"/>
      <c r="M68" s="33"/>
      <c r="N68" s="34"/>
      <c r="O68" s="15" t="s">
        <v>58</v>
      </c>
      <c r="P68" s="11"/>
      <c r="Q68" s="33"/>
      <c r="R68" s="34"/>
      <c r="S68" s="15" t="s">
        <v>58</v>
      </c>
      <c r="T68" s="11"/>
      <c r="U68" s="33"/>
      <c r="V68" s="38"/>
      <c r="W68" s="346"/>
      <c r="X68" s="342"/>
      <c r="Y68" s="342"/>
      <c r="Z68" s="342"/>
      <c r="AA68" s="342"/>
      <c r="AB68" s="344"/>
      <c r="AC68" s="346"/>
      <c r="AD68" s="342"/>
      <c r="AE68" s="342"/>
      <c r="AF68" s="342"/>
      <c r="AG68" s="342"/>
      <c r="AH68" s="344"/>
      <c r="AI68" s="346"/>
      <c r="AJ68" s="342"/>
      <c r="AK68" s="344"/>
      <c r="AL68" s="338"/>
      <c r="AM68" s="55" t="s">
        <v>100</v>
      </c>
      <c r="AN68" s="58"/>
      <c r="AO68" s="55" t="s">
        <v>101</v>
      </c>
      <c r="AP68" s="61"/>
      <c r="AQ68" s="338"/>
      <c r="AR68" s="55" t="s">
        <v>100</v>
      </c>
      <c r="AS68" s="58"/>
      <c r="AT68" s="55" t="s">
        <v>101</v>
      </c>
      <c r="AU68" s="61"/>
    </row>
    <row r="69" spans="1:47" ht="16.5" customHeight="1">
      <c r="A69" s="329"/>
      <c r="B69" s="330"/>
      <c r="C69" s="15" t="s">
        <v>38</v>
      </c>
      <c r="D69" s="19"/>
      <c r="E69" s="15" t="s">
        <v>49</v>
      </c>
      <c r="F69" s="18"/>
      <c r="G69" s="8" t="s">
        <v>13</v>
      </c>
      <c r="H69" s="180" t="s">
        <v>14</v>
      </c>
      <c r="I69" s="6" t="s">
        <v>15</v>
      </c>
      <c r="J69" s="6" t="s">
        <v>16</v>
      </c>
      <c r="K69" s="15" t="s">
        <v>59</v>
      </c>
      <c r="L69" s="11"/>
      <c r="M69" s="33"/>
      <c r="N69" s="34"/>
      <c r="O69" s="15" t="s">
        <v>59</v>
      </c>
      <c r="P69" s="11"/>
      <c r="Q69" s="33"/>
      <c r="R69" s="34"/>
      <c r="S69" s="15" t="s">
        <v>59</v>
      </c>
      <c r="T69" s="11"/>
      <c r="U69" s="33"/>
      <c r="V69" s="38"/>
      <c r="W69" s="346"/>
      <c r="X69" s="342"/>
      <c r="Y69" s="342"/>
      <c r="Z69" s="342"/>
      <c r="AA69" s="342"/>
      <c r="AB69" s="344"/>
      <c r="AC69" s="346"/>
      <c r="AD69" s="342"/>
      <c r="AE69" s="342"/>
      <c r="AF69" s="342"/>
      <c r="AG69" s="342"/>
      <c r="AH69" s="344"/>
      <c r="AI69" s="346"/>
      <c r="AJ69" s="342"/>
      <c r="AK69" s="344"/>
      <c r="AL69" s="336">
        <v>2</v>
      </c>
      <c r="AM69" s="53" t="s">
        <v>0</v>
      </c>
      <c r="AN69" s="339"/>
      <c r="AO69" s="340"/>
      <c r="AP69" s="341"/>
      <c r="AQ69" s="336">
        <v>4</v>
      </c>
      <c r="AR69" s="53" t="s">
        <v>0</v>
      </c>
      <c r="AS69" s="339"/>
      <c r="AT69" s="340"/>
      <c r="AU69" s="341"/>
    </row>
    <row r="70" spans="1:47" ht="16.5" customHeight="1">
      <c r="A70" s="329"/>
      <c r="B70" s="330"/>
      <c r="C70" s="15" t="s">
        <v>39</v>
      </c>
      <c r="D70" s="19"/>
      <c r="E70" s="15" t="s">
        <v>50</v>
      </c>
      <c r="F70" s="18"/>
      <c r="G70" s="154">
        <v>6</v>
      </c>
      <c r="H70" s="181"/>
      <c r="I70" s="10"/>
      <c r="J70" s="26"/>
      <c r="K70" s="15" t="s">
        <v>60</v>
      </c>
      <c r="L70" s="11"/>
      <c r="M70" s="33"/>
      <c r="N70" s="34"/>
      <c r="O70" s="15" t="s">
        <v>60</v>
      </c>
      <c r="P70" s="11"/>
      <c r="Q70" s="33"/>
      <c r="R70" s="34"/>
      <c r="S70" s="15" t="s">
        <v>60</v>
      </c>
      <c r="T70" s="11"/>
      <c r="U70" s="33"/>
      <c r="V70" s="38"/>
      <c r="W70" s="346"/>
      <c r="X70" s="342"/>
      <c r="Y70" s="342"/>
      <c r="Z70" s="342"/>
      <c r="AA70" s="342"/>
      <c r="AB70" s="344"/>
      <c r="AC70" s="346"/>
      <c r="AD70" s="342"/>
      <c r="AE70" s="342"/>
      <c r="AF70" s="342"/>
      <c r="AG70" s="342"/>
      <c r="AH70" s="344"/>
      <c r="AI70" s="346">
        <v>8</v>
      </c>
      <c r="AJ70" s="342"/>
      <c r="AK70" s="344"/>
      <c r="AL70" s="337"/>
      <c r="AM70" s="54" t="s">
        <v>97</v>
      </c>
      <c r="AN70" s="176"/>
      <c r="AO70" s="179" t="s">
        <v>212</v>
      </c>
      <c r="AP70" s="177"/>
      <c r="AQ70" s="337"/>
      <c r="AR70" s="54" t="s">
        <v>97</v>
      </c>
      <c r="AS70" s="176"/>
      <c r="AT70" s="179" t="s">
        <v>212</v>
      </c>
      <c r="AU70" s="177"/>
    </row>
    <row r="71" spans="1:47" ht="16.5" customHeight="1">
      <c r="A71" s="329"/>
      <c r="B71" s="330"/>
      <c r="C71" s="15" t="s">
        <v>40</v>
      </c>
      <c r="D71" s="19"/>
      <c r="E71" s="15" t="s">
        <v>51</v>
      </c>
      <c r="F71" s="18"/>
      <c r="G71" s="155">
        <v>7</v>
      </c>
      <c r="H71" s="182"/>
      <c r="I71" s="12"/>
      <c r="J71" s="27"/>
      <c r="K71" s="15" t="s">
        <v>61</v>
      </c>
      <c r="L71" s="11"/>
      <c r="M71" s="33"/>
      <c r="N71" s="34"/>
      <c r="O71" s="15" t="s">
        <v>61</v>
      </c>
      <c r="P71" s="11"/>
      <c r="Q71" s="33"/>
      <c r="R71" s="34"/>
      <c r="S71" s="15" t="s">
        <v>61</v>
      </c>
      <c r="T71" s="11"/>
      <c r="U71" s="33"/>
      <c r="V71" s="38"/>
      <c r="W71" s="346"/>
      <c r="X71" s="342"/>
      <c r="Y71" s="342"/>
      <c r="Z71" s="342"/>
      <c r="AA71" s="342"/>
      <c r="AB71" s="344"/>
      <c r="AC71" s="346"/>
      <c r="AD71" s="342"/>
      <c r="AE71" s="342"/>
      <c r="AF71" s="342"/>
      <c r="AG71" s="342"/>
      <c r="AH71" s="344"/>
      <c r="AI71" s="346"/>
      <c r="AJ71" s="342"/>
      <c r="AK71" s="344"/>
      <c r="AL71" s="337"/>
      <c r="AM71" s="54" t="s">
        <v>98</v>
      </c>
      <c r="AN71" s="56"/>
      <c r="AO71" s="54" t="s">
        <v>13</v>
      </c>
      <c r="AP71" s="59"/>
      <c r="AQ71" s="337"/>
      <c r="AR71" s="54" t="s">
        <v>98</v>
      </c>
      <c r="AS71" s="56"/>
      <c r="AT71" s="54" t="s">
        <v>13</v>
      </c>
      <c r="AU71" s="59"/>
    </row>
    <row r="72" spans="1:47" ht="16.5" customHeight="1">
      <c r="A72" s="329"/>
      <c r="B72" s="330"/>
      <c r="C72" s="15" t="s">
        <v>41</v>
      </c>
      <c r="D72" s="19"/>
      <c r="E72" s="15" t="s">
        <v>52</v>
      </c>
      <c r="F72" s="18"/>
      <c r="G72" s="155">
        <v>8</v>
      </c>
      <c r="H72" s="185"/>
      <c r="I72" s="25"/>
      <c r="J72" s="29"/>
      <c r="K72" s="15" t="s">
        <v>62</v>
      </c>
      <c r="L72" s="11"/>
      <c r="M72" s="33"/>
      <c r="N72" s="34"/>
      <c r="O72" s="15" t="s">
        <v>62</v>
      </c>
      <c r="P72" s="11"/>
      <c r="Q72" s="33"/>
      <c r="R72" s="34"/>
      <c r="S72" s="15" t="s">
        <v>62</v>
      </c>
      <c r="T72" s="11"/>
      <c r="U72" s="33"/>
      <c r="V72" s="38"/>
      <c r="W72" s="346"/>
      <c r="X72" s="342"/>
      <c r="Y72" s="342"/>
      <c r="Z72" s="342"/>
      <c r="AA72" s="342"/>
      <c r="AB72" s="344"/>
      <c r="AC72" s="346"/>
      <c r="AD72" s="342"/>
      <c r="AE72" s="342"/>
      <c r="AF72" s="342"/>
      <c r="AG72" s="342"/>
      <c r="AH72" s="344"/>
      <c r="AI72" s="356"/>
      <c r="AJ72" s="343"/>
      <c r="AK72" s="345"/>
      <c r="AL72" s="337"/>
      <c r="AM72" s="54" t="s">
        <v>99</v>
      </c>
      <c r="AN72" s="57"/>
      <c r="AO72" s="54" t="s">
        <v>13</v>
      </c>
      <c r="AP72" s="60"/>
      <c r="AQ72" s="337"/>
      <c r="AR72" s="54" t="s">
        <v>99</v>
      </c>
      <c r="AS72" s="57"/>
      <c r="AT72" s="54" t="s">
        <v>13</v>
      </c>
      <c r="AU72" s="60"/>
    </row>
    <row r="73" spans="1:47" ht="16.5" customHeight="1">
      <c r="A73" s="329"/>
      <c r="B73" s="330"/>
      <c r="C73" s="15" t="s">
        <v>42</v>
      </c>
      <c r="D73" s="19"/>
      <c r="E73" s="16" t="s">
        <v>53</v>
      </c>
      <c r="F73" s="22"/>
      <c r="G73" s="160"/>
      <c r="H73" s="186"/>
      <c r="I73" s="161"/>
      <c r="J73" s="161"/>
      <c r="K73" s="15" t="s">
        <v>63</v>
      </c>
      <c r="L73" s="11"/>
      <c r="M73" s="33"/>
      <c r="N73" s="34"/>
      <c r="O73" s="15" t="s">
        <v>63</v>
      </c>
      <c r="P73" s="11"/>
      <c r="Q73" s="33"/>
      <c r="R73" s="34"/>
      <c r="S73" s="15" t="s">
        <v>63</v>
      </c>
      <c r="T73" s="11"/>
      <c r="U73" s="33"/>
      <c r="V73" s="38"/>
      <c r="W73" s="356"/>
      <c r="X73" s="343"/>
      <c r="Y73" s="343"/>
      <c r="Z73" s="343"/>
      <c r="AA73" s="343"/>
      <c r="AB73" s="345"/>
      <c r="AC73" s="356"/>
      <c r="AD73" s="343"/>
      <c r="AE73" s="343"/>
      <c r="AF73" s="343"/>
      <c r="AG73" s="343"/>
      <c r="AH73" s="345"/>
      <c r="AI73" s="172"/>
      <c r="AJ73" s="173"/>
      <c r="AK73" s="174"/>
      <c r="AL73" s="338"/>
      <c r="AM73" s="55" t="s">
        <v>100</v>
      </c>
      <c r="AN73" s="58"/>
      <c r="AO73" s="55" t="s">
        <v>101</v>
      </c>
      <c r="AP73" s="61"/>
      <c r="AQ73" s="338"/>
      <c r="AR73" s="55" t="s">
        <v>100</v>
      </c>
      <c r="AS73" s="58"/>
      <c r="AT73" s="55" t="s">
        <v>101</v>
      </c>
      <c r="AU73" s="61"/>
    </row>
    <row r="74" spans="1:47" ht="16.5" customHeight="1">
      <c r="A74" s="329"/>
      <c r="B74" s="330"/>
      <c r="C74" s="16" t="s">
        <v>43</v>
      </c>
      <c r="D74" s="21"/>
      <c r="E74" s="189" t="s">
        <v>293</v>
      </c>
      <c r="F74" s="190" t="s">
        <v>186</v>
      </c>
      <c r="G74" s="162"/>
      <c r="H74" s="187"/>
      <c r="I74" s="163"/>
      <c r="J74" s="163"/>
      <c r="K74" s="30" t="s">
        <v>64</v>
      </c>
      <c r="L74" s="24"/>
      <c r="M74" s="35"/>
      <c r="N74" s="36"/>
      <c r="O74" s="30" t="s">
        <v>64</v>
      </c>
      <c r="P74" s="24"/>
      <c r="Q74" s="35"/>
      <c r="R74" s="36"/>
      <c r="S74" s="30" t="s">
        <v>64</v>
      </c>
      <c r="T74" s="24"/>
      <c r="U74" s="35"/>
      <c r="V74" s="39"/>
      <c r="W74" s="156"/>
      <c r="X74" s="157"/>
      <c r="Y74" s="165"/>
      <c r="Z74" s="165"/>
      <c r="AA74" s="166"/>
      <c r="AB74" s="167"/>
      <c r="AC74" s="168"/>
      <c r="AD74" s="169"/>
      <c r="AE74" s="170"/>
      <c r="AF74" s="170"/>
      <c r="AG74" s="170"/>
      <c r="AH74" s="171"/>
      <c r="AI74" s="168"/>
      <c r="AJ74" s="169"/>
      <c r="AK74" s="171"/>
      <c r="AL74" s="175"/>
      <c r="AM74" s="158"/>
      <c r="AN74" s="158"/>
      <c r="AO74" s="158"/>
      <c r="AP74" s="159"/>
      <c r="AQ74" s="175"/>
      <c r="AR74" s="158"/>
      <c r="AS74" s="158"/>
      <c r="AT74" s="158"/>
      <c r="AU74" s="159"/>
    </row>
    <row r="75" spans="1:47" ht="16.5" customHeight="1"/>
    <row r="76" spans="1:47" ht="16.5" customHeight="1">
      <c r="A76" s="329">
        <v>7</v>
      </c>
      <c r="B76" s="330" t="s">
        <v>255</v>
      </c>
      <c r="C76" s="14" t="s">
        <v>45</v>
      </c>
      <c r="D76" s="52"/>
      <c r="E76" s="14" t="s">
        <v>46</v>
      </c>
      <c r="F76" s="17"/>
      <c r="G76" s="149">
        <v>6</v>
      </c>
      <c r="H76" s="181"/>
      <c r="I76" s="10"/>
      <c r="J76" s="26"/>
      <c r="K76" s="14" t="s">
        <v>54</v>
      </c>
      <c r="L76" s="9"/>
      <c r="M76" s="31"/>
      <c r="N76" s="32"/>
      <c r="O76" s="14" t="s">
        <v>54</v>
      </c>
      <c r="P76" s="9"/>
      <c r="Q76" s="31"/>
      <c r="R76" s="32"/>
      <c r="S76" s="14" t="s">
        <v>54</v>
      </c>
      <c r="T76" s="9"/>
      <c r="U76" s="31"/>
      <c r="V76" s="37"/>
      <c r="W76" s="353"/>
      <c r="X76" s="354"/>
      <c r="Y76" s="354"/>
      <c r="Z76" s="354"/>
      <c r="AA76" s="354"/>
      <c r="AB76" s="355"/>
      <c r="AC76" s="353"/>
      <c r="AD76" s="354"/>
      <c r="AE76" s="354"/>
      <c r="AF76" s="354"/>
      <c r="AG76" s="354"/>
      <c r="AH76" s="355"/>
      <c r="AI76" s="353">
        <v>6</v>
      </c>
      <c r="AJ76" s="354"/>
      <c r="AK76" s="355"/>
      <c r="AL76" s="336">
        <v>1</v>
      </c>
      <c r="AM76" s="53" t="s">
        <v>0</v>
      </c>
      <c r="AN76" s="339"/>
      <c r="AO76" s="340"/>
      <c r="AP76" s="341"/>
      <c r="AQ76" s="336">
        <v>3</v>
      </c>
      <c r="AR76" s="53" t="s">
        <v>0</v>
      </c>
      <c r="AS76" s="339"/>
      <c r="AT76" s="340"/>
      <c r="AU76" s="341"/>
    </row>
    <row r="77" spans="1:47" ht="16.5" customHeight="1">
      <c r="A77" s="329"/>
      <c r="B77" s="330"/>
      <c r="C77" s="15" t="s">
        <v>36</v>
      </c>
      <c r="D77" s="19"/>
      <c r="E77" s="15" t="s">
        <v>73</v>
      </c>
      <c r="F77" s="18"/>
      <c r="G77" s="150">
        <v>7</v>
      </c>
      <c r="H77" s="182"/>
      <c r="I77" s="12"/>
      <c r="J77" s="27"/>
      <c r="K77" s="15" t="s">
        <v>55</v>
      </c>
      <c r="L77" s="11"/>
      <c r="M77" s="33"/>
      <c r="N77" s="34"/>
      <c r="O77" s="15" t="s">
        <v>55</v>
      </c>
      <c r="P77" s="11"/>
      <c r="Q77" s="33"/>
      <c r="R77" s="34"/>
      <c r="S77" s="15" t="s">
        <v>55</v>
      </c>
      <c r="T77" s="11"/>
      <c r="U77" s="33"/>
      <c r="V77" s="38"/>
      <c r="W77" s="346"/>
      <c r="X77" s="342"/>
      <c r="Y77" s="342"/>
      <c r="Z77" s="342"/>
      <c r="AA77" s="342"/>
      <c r="AB77" s="344"/>
      <c r="AC77" s="346"/>
      <c r="AD77" s="342"/>
      <c r="AE77" s="342"/>
      <c r="AF77" s="342"/>
      <c r="AG77" s="342"/>
      <c r="AH77" s="344"/>
      <c r="AI77" s="346"/>
      <c r="AJ77" s="342"/>
      <c r="AK77" s="344"/>
      <c r="AL77" s="337"/>
      <c r="AM77" s="54" t="s">
        <v>97</v>
      </c>
      <c r="AN77" s="176"/>
      <c r="AO77" s="54" t="s">
        <v>212</v>
      </c>
      <c r="AP77" s="178"/>
      <c r="AQ77" s="337"/>
      <c r="AR77" s="54" t="s">
        <v>97</v>
      </c>
      <c r="AS77" s="176"/>
      <c r="AT77" s="179" t="s">
        <v>212</v>
      </c>
      <c r="AU77" s="177"/>
    </row>
    <row r="78" spans="1:47" ht="16.5" customHeight="1">
      <c r="A78" s="329"/>
      <c r="B78" s="330"/>
      <c r="C78" s="15" t="s">
        <v>37</v>
      </c>
      <c r="D78" s="20"/>
      <c r="E78" s="15" t="s">
        <v>47</v>
      </c>
      <c r="F78" s="18"/>
      <c r="G78" s="150">
        <v>8</v>
      </c>
      <c r="H78" s="183"/>
      <c r="I78" s="13"/>
      <c r="J78" s="28"/>
      <c r="K78" s="15" t="s">
        <v>56</v>
      </c>
      <c r="L78" s="11"/>
      <c r="M78" s="33"/>
      <c r="N78" s="34"/>
      <c r="O78" s="15" t="s">
        <v>56</v>
      </c>
      <c r="P78" s="11"/>
      <c r="Q78" s="33"/>
      <c r="R78" s="34"/>
      <c r="S78" s="15" t="s">
        <v>56</v>
      </c>
      <c r="T78" s="11"/>
      <c r="U78" s="33"/>
      <c r="V78" s="38"/>
      <c r="W78" s="346"/>
      <c r="X78" s="342"/>
      <c r="Y78" s="342"/>
      <c r="Z78" s="342"/>
      <c r="AA78" s="342"/>
      <c r="AB78" s="344"/>
      <c r="AC78" s="346"/>
      <c r="AD78" s="342"/>
      <c r="AE78" s="342"/>
      <c r="AF78" s="342"/>
      <c r="AG78" s="342"/>
      <c r="AH78" s="344"/>
      <c r="AI78" s="346"/>
      <c r="AJ78" s="342"/>
      <c r="AK78" s="344"/>
      <c r="AL78" s="337"/>
      <c r="AM78" s="54" t="s">
        <v>98</v>
      </c>
      <c r="AN78" s="56"/>
      <c r="AO78" s="54" t="s">
        <v>13</v>
      </c>
      <c r="AP78" s="59"/>
      <c r="AQ78" s="337"/>
      <c r="AR78" s="54" t="s">
        <v>98</v>
      </c>
      <c r="AS78" s="56"/>
      <c r="AT78" s="54" t="s">
        <v>13</v>
      </c>
      <c r="AU78" s="59"/>
    </row>
    <row r="79" spans="1:47" ht="16.5" customHeight="1">
      <c r="A79" s="329"/>
      <c r="B79" s="330"/>
      <c r="C79" s="15" t="s">
        <v>44</v>
      </c>
      <c r="D79" s="19"/>
      <c r="E79" s="15" t="s">
        <v>65</v>
      </c>
      <c r="F79" s="18"/>
      <c r="G79" s="153"/>
      <c r="H79" s="184"/>
      <c r="I79" s="23"/>
      <c r="J79" s="23"/>
      <c r="K79" s="15" t="s">
        <v>57</v>
      </c>
      <c r="L79" s="11"/>
      <c r="M79" s="33"/>
      <c r="N79" s="34"/>
      <c r="O79" s="15" t="s">
        <v>57</v>
      </c>
      <c r="P79" s="11"/>
      <c r="Q79" s="33"/>
      <c r="R79" s="34"/>
      <c r="S79" s="15" t="s">
        <v>57</v>
      </c>
      <c r="T79" s="11"/>
      <c r="U79" s="33"/>
      <c r="V79" s="38"/>
      <c r="W79" s="346"/>
      <c r="X79" s="342"/>
      <c r="Y79" s="342"/>
      <c r="Z79" s="342"/>
      <c r="AA79" s="342"/>
      <c r="AB79" s="344"/>
      <c r="AC79" s="346"/>
      <c r="AD79" s="342"/>
      <c r="AE79" s="342"/>
      <c r="AF79" s="342"/>
      <c r="AG79" s="342"/>
      <c r="AH79" s="344"/>
      <c r="AI79" s="346">
        <v>7</v>
      </c>
      <c r="AJ79" s="342"/>
      <c r="AK79" s="344"/>
      <c r="AL79" s="337"/>
      <c r="AM79" s="54" t="s">
        <v>99</v>
      </c>
      <c r="AN79" s="57"/>
      <c r="AO79" s="54" t="s">
        <v>13</v>
      </c>
      <c r="AP79" s="60"/>
      <c r="AQ79" s="337"/>
      <c r="AR79" s="54" t="s">
        <v>99</v>
      </c>
      <c r="AS79" s="57"/>
      <c r="AT79" s="54" t="s">
        <v>13</v>
      </c>
      <c r="AU79" s="60"/>
    </row>
    <row r="80" spans="1:47" ht="16.5" customHeight="1">
      <c r="A80" s="329"/>
      <c r="B80" s="330"/>
      <c r="C80" s="15" t="s">
        <v>229</v>
      </c>
      <c r="D80" s="4"/>
      <c r="E80" s="15" t="s">
        <v>48</v>
      </c>
      <c r="F80" s="18"/>
      <c r="G80" s="331" t="s">
        <v>12</v>
      </c>
      <c r="H80" s="332"/>
      <c r="I80" s="332"/>
      <c r="J80" s="332"/>
      <c r="K80" s="15" t="s">
        <v>58</v>
      </c>
      <c r="L80" s="11"/>
      <c r="M80" s="33"/>
      <c r="N80" s="34"/>
      <c r="O80" s="15" t="s">
        <v>58</v>
      </c>
      <c r="P80" s="11"/>
      <c r="Q80" s="33"/>
      <c r="R80" s="34"/>
      <c r="S80" s="15" t="s">
        <v>58</v>
      </c>
      <c r="T80" s="11"/>
      <c r="U80" s="33"/>
      <c r="V80" s="38"/>
      <c r="W80" s="346"/>
      <c r="X80" s="342"/>
      <c r="Y80" s="342"/>
      <c r="Z80" s="342"/>
      <c r="AA80" s="342"/>
      <c r="AB80" s="344"/>
      <c r="AC80" s="346"/>
      <c r="AD80" s="342"/>
      <c r="AE80" s="342"/>
      <c r="AF80" s="342"/>
      <c r="AG80" s="342"/>
      <c r="AH80" s="344"/>
      <c r="AI80" s="346"/>
      <c r="AJ80" s="342"/>
      <c r="AK80" s="344"/>
      <c r="AL80" s="338"/>
      <c r="AM80" s="55" t="s">
        <v>100</v>
      </c>
      <c r="AN80" s="58"/>
      <c r="AO80" s="55" t="s">
        <v>101</v>
      </c>
      <c r="AP80" s="61"/>
      <c r="AQ80" s="338"/>
      <c r="AR80" s="55" t="s">
        <v>100</v>
      </c>
      <c r="AS80" s="58"/>
      <c r="AT80" s="55" t="s">
        <v>101</v>
      </c>
      <c r="AU80" s="61"/>
    </row>
    <row r="81" spans="1:47" ht="16.5" customHeight="1">
      <c r="A81" s="329"/>
      <c r="B81" s="330"/>
      <c r="C81" s="15" t="s">
        <v>38</v>
      </c>
      <c r="D81" s="19"/>
      <c r="E81" s="15" t="s">
        <v>49</v>
      </c>
      <c r="F81" s="18"/>
      <c r="G81" s="8" t="s">
        <v>13</v>
      </c>
      <c r="H81" s="180" t="s">
        <v>14</v>
      </c>
      <c r="I81" s="6" t="s">
        <v>15</v>
      </c>
      <c r="J81" s="6" t="s">
        <v>16</v>
      </c>
      <c r="K81" s="15" t="s">
        <v>59</v>
      </c>
      <c r="L81" s="11"/>
      <c r="M81" s="33"/>
      <c r="N81" s="34"/>
      <c r="O81" s="15" t="s">
        <v>59</v>
      </c>
      <c r="P81" s="11"/>
      <c r="Q81" s="33"/>
      <c r="R81" s="34"/>
      <c r="S81" s="15" t="s">
        <v>59</v>
      </c>
      <c r="T81" s="11"/>
      <c r="U81" s="33"/>
      <c r="V81" s="38"/>
      <c r="W81" s="346"/>
      <c r="X81" s="342"/>
      <c r="Y81" s="342"/>
      <c r="Z81" s="342"/>
      <c r="AA81" s="342"/>
      <c r="AB81" s="344"/>
      <c r="AC81" s="346"/>
      <c r="AD81" s="342"/>
      <c r="AE81" s="342"/>
      <c r="AF81" s="342"/>
      <c r="AG81" s="342"/>
      <c r="AH81" s="344"/>
      <c r="AI81" s="346"/>
      <c r="AJ81" s="342"/>
      <c r="AK81" s="344"/>
      <c r="AL81" s="336">
        <v>2</v>
      </c>
      <c r="AM81" s="53" t="s">
        <v>0</v>
      </c>
      <c r="AN81" s="339"/>
      <c r="AO81" s="340"/>
      <c r="AP81" s="341"/>
      <c r="AQ81" s="336">
        <v>4</v>
      </c>
      <c r="AR81" s="53" t="s">
        <v>0</v>
      </c>
      <c r="AS81" s="339"/>
      <c r="AT81" s="340"/>
      <c r="AU81" s="341"/>
    </row>
    <row r="82" spans="1:47" ht="16.5" customHeight="1">
      <c r="A82" s="329"/>
      <c r="B82" s="330"/>
      <c r="C82" s="15" t="s">
        <v>39</v>
      </c>
      <c r="D82" s="19"/>
      <c r="E82" s="15" t="s">
        <v>50</v>
      </c>
      <c r="F82" s="18"/>
      <c r="G82" s="154">
        <v>6</v>
      </c>
      <c r="H82" s="181"/>
      <c r="I82" s="10"/>
      <c r="J82" s="26"/>
      <c r="K82" s="15" t="s">
        <v>60</v>
      </c>
      <c r="L82" s="11"/>
      <c r="M82" s="33"/>
      <c r="N82" s="34"/>
      <c r="O82" s="15" t="s">
        <v>60</v>
      </c>
      <c r="P82" s="11"/>
      <c r="Q82" s="33"/>
      <c r="R82" s="34"/>
      <c r="S82" s="15" t="s">
        <v>60</v>
      </c>
      <c r="T82" s="11"/>
      <c r="U82" s="33"/>
      <c r="V82" s="38"/>
      <c r="W82" s="346"/>
      <c r="X82" s="342"/>
      <c r="Y82" s="342"/>
      <c r="Z82" s="342"/>
      <c r="AA82" s="342"/>
      <c r="AB82" s="344"/>
      <c r="AC82" s="346"/>
      <c r="AD82" s="342"/>
      <c r="AE82" s="342"/>
      <c r="AF82" s="342"/>
      <c r="AG82" s="342"/>
      <c r="AH82" s="344"/>
      <c r="AI82" s="346">
        <v>8</v>
      </c>
      <c r="AJ82" s="342"/>
      <c r="AK82" s="344"/>
      <c r="AL82" s="337"/>
      <c r="AM82" s="54" t="s">
        <v>97</v>
      </c>
      <c r="AN82" s="176"/>
      <c r="AO82" s="179" t="s">
        <v>212</v>
      </c>
      <c r="AP82" s="177"/>
      <c r="AQ82" s="337"/>
      <c r="AR82" s="54" t="s">
        <v>97</v>
      </c>
      <c r="AS82" s="176"/>
      <c r="AT82" s="179" t="s">
        <v>212</v>
      </c>
      <c r="AU82" s="177"/>
    </row>
    <row r="83" spans="1:47" ht="16.5" customHeight="1">
      <c r="A83" s="329"/>
      <c r="B83" s="330"/>
      <c r="C83" s="15" t="s">
        <v>40</v>
      </c>
      <c r="D83" s="19"/>
      <c r="E83" s="15" t="s">
        <v>51</v>
      </c>
      <c r="F83" s="18"/>
      <c r="G83" s="155">
        <v>7</v>
      </c>
      <c r="H83" s="182"/>
      <c r="I83" s="12"/>
      <c r="J83" s="27"/>
      <c r="K83" s="15" t="s">
        <v>61</v>
      </c>
      <c r="L83" s="11"/>
      <c r="M83" s="33"/>
      <c r="N83" s="34"/>
      <c r="O83" s="15" t="s">
        <v>61</v>
      </c>
      <c r="P83" s="11"/>
      <c r="Q83" s="33"/>
      <c r="R83" s="34"/>
      <c r="S83" s="15" t="s">
        <v>61</v>
      </c>
      <c r="T83" s="11"/>
      <c r="U83" s="33"/>
      <c r="V83" s="38"/>
      <c r="W83" s="346"/>
      <c r="X83" s="342"/>
      <c r="Y83" s="342"/>
      <c r="Z83" s="342"/>
      <c r="AA83" s="342"/>
      <c r="AB83" s="344"/>
      <c r="AC83" s="346"/>
      <c r="AD83" s="342"/>
      <c r="AE83" s="342"/>
      <c r="AF83" s="342"/>
      <c r="AG83" s="342"/>
      <c r="AH83" s="344"/>
      <c r="AI83" s="346"/>
      <c r="AJ83" s="342"/>
      <c r="AK83" s="344"/>
      <c r="AL83" s="337"/>
      <c r="AM83" s="54" t="s">
        <v>98</v>
      </c>
      <c r="AN83" s="56"/>
      <c r="AO83" s="54" t="s">
        <v>13</v>
      </c>
      <c r="AP83" s="59"/>
      <c r="AQ83" s="337"/>
      <c r="AR83" s="54" t="s">
        <v>98</v>
      </c>
      <c r="AS83" s="56"/>
      <c r="AT83" s="54" t="s">
        <v>13</v>
      </c>
      <c r="AU83" s="59"/>
    </row>
    <row r="84" spans="1:47" ht="16.5" customHeight="1">
      <c r="A84" s="329"/>
      <c r="B84" s="330"/>
      <c r="C84" s="15" t="s">
        <v>41</v>
      </c>
      <c r="D84" s="19"/>
      <c r="E84" s="15" t="s">
        <v>52</v>
      </c>
      <c r="F84" s="18"/>
      <c r="G84" s="155">
        <v>8</v>
      </c>
      <c r="H84" s="185"/>
      <c r="I84" s="25"/>
      <c r="J84" s="29"/>
      <c r="K84" s="15" t="s">
        <v>62</v>
      </c>
      <c r="L84" s="11"/>
      <c r="M84" s="33"/>
      <c r="N84" s="34"/>
      <c r="O84" s="15" t="s">
        <v>62</v>
      </c>
      <c r="P84" s="11"/>
      <c r="Q84" s="33"/>
      <c r="R84" s="34"/>
      <c r="S84" s="15" t="s">
        <v>62</v>
      </c>
      <c r="T84" s="11"/>
      <c r="U84" s="33"/>
      <c r="V84" s="38"/>
      <c r="W84" s="346"/>
      <c r="X84" s="342"/>
      <c r="Y84" s="342"/>
      <c r="Z84" s="342"/>
      <c r="AA84" s="342"/>
      <c r="AB84" s="344"/>
      <c r="AC84" s="346"/>
      <c r="AD84" s="342"/>
      <c r="AE84" s="342"/>
      <c r="AF84" s="342"/>
      <c r="AG84" s="342"/>
      <c r="AH84" s="344"/>
      <c r="AI84" s="356"/>
      <c r="AJ84" s="343"/>
      <c r="AK84" s="345"/>
      <c r="AL84" s="337"/>
      <c r="AM84" s="54" t="s">
        <v>99</v>
      </c>
      <c r="AN84" s="57"/>
      <c r="AO84" s="54" t="s">
        <v>13</v>
      </c>
      <c r="AP84" s="60"/>
      <c r="AQ84" s="337"/>
      <c r="AR84" s="54" t="s">
        <v>99</v>
      </c>
      <c r="AS84" s="57"/>
      <c r="AT84" s="54" t="s">
        <v>13</v>
      </c>
      <c r="AU84" s="60"/>
    </row>
    <row r="85" spans="1:47" ht="16.5" customHeight="1">
      <c r="A85" s="329"/>
      <c r="B85" s="330"/>
      <c r="C85" s="15" t="s">
        <v>42</v>
      </c>
      <c r="D85" s="19"/>
      <c r="E85" s="16" t="s">
        <v>53</v>
      </c>
      <c r="F85" s="22"/>
      <c r="G85" s="160"/>
      <c r="H85" s="186"/>
      <c r="I85" s="161"/>
      <c r="J85" s="161"/>
      <c r="K85" s="15" t="s">
        <v>63</v>
      </c>
      <c r="L85" s="11"/>
      <c r="M85" s="33"/>
      <c r="N85" s="34"/>
      <c r="O85" s="15" t="s">
        <v>63</v>
      </c>
      <c r="P85" s="11"/>
      <c r="Q85" s="33"/>
      <c r="R85" s="34"/>
      <c r="S85" s="15" t="s">
        <v>63</v>
      </c>
      <c r="T85" s="11"/>
      <c r="U85" s="33"/>
      <c r="V85" s="38"/>
      <c r="W85" s="356"/>
      <c r="X85" s="343"/>
      <c r="Y85" s="343"/>
      <c r="Z85" s="343"/>
      <c r="AA85" s="343"/>
      <c r="AB85" s="345"/>
      <c r="AC85" s="356"/>
      <c r="AD85" s="343"/>
      <c r="AE85" s="343"/>
      <c r="AF85" s="343"/>
      <c r="AG85" s="343"/>
      <c r="AH85" s="345"/>
      <c r="AI85" s="172"/>
      <c r="AJ85" s="173"/>
      <c r="AK85" s="174"/>
      <c r="AL85" s="338"/>
      <c r="AM85" s="55" t="s">
        <v>100</v>
      </c>
      <c r="AN85" s="58"/>
      <c r="AO85" s="55" t="s">
        <v>101</v>
      </c>
      <c r="AP85" s="61"/>
      <c r="AQ85" s="338"/>
      <c r="AR85" s="55" t="s">
        <v>100</v>
      </c>
      <c r="AS85" s="58"/>
      <c r="AT85" s="55" t="s">
        <v>101</v>
      </c>
      <c r="AU85" s="61"/>
    </row>
    <row r="86" spans="1:47" ht="16.5" customHeight="1">
      <c r="A86" s="329"/>
      <c r="B86" s="330"/>
      <c r="C86" s="16" t="s">
        <v>43</v>
      </c>
      <c r="D86" s="21"/>
      <c r="E86" s="189" t="s">
        <v>293</v>
      </c>
      <c r="F86" s="190" t="s">
        <v>186</v>
      </c>
      <c r="G86" s="162"/>
      <c r="H86" s="187"/>
      <c r="I86" s="163"/>
      <c r="J86" s="163"/>
      <c r="K86" s="30" t="s">
        <v>64</v>
      </c>
      <c r="L86" s="24"/>
      <c r="M86" s="35"/>
      <c r="N86" s="36"/>
      <c r="O86" s="30" t="s">
        <v>64</v>
      </c>
      <c r="P86" s="24"/>
      <c r="Q86" s="35"/>
      <c r="R86" s="36"/>
      <c r="S86" s="30" t="s">
        <v>64</v>
      </c>
      <c r="T86" s="24"/>
      <c r="U86" s="35"/>
      <c r="V86" s="39"/>
      <c r="W86" s="156"/>
      <c r="X86" s="157"/>
      <c r="Y86" s="165"/>
      <c r="Z86" s="165"/>
      <c r="AA86" s="166"/>
      <c r="AB86" s="167"/>
      <c r="AC86" s="168"/>
      <c r="AD86" s="169"/>
      <c r="AE86" s="170"/>
      <c r="AF86" s="170"/>
      <c r="AG86" s="170"/>
      <c r="AH86" s="171"/>
      <c r="AI86" s="168"/>
      <c r="AJ86" s="169"/>
      <c r="AK86" s="171"/>
      <c r="AL86" s="175"/>
      <c r="AM86" s="158"/>
      <c r="AN86" s="158"/>
      <c r="AO86" s="158"/>
      <c r="AP86" s="159"/>
      <c r="AQ86" s="175"/>
      <c r="AR86" s="158"/>
      <c r="AS86" s="158"/>
      <c r="AT86" s="158"/>
      <c r="AU86" s="159"/>
    </row>
    <row r="87" spans="1:47" ht="16.5" customHeight="1"/>
    <row r="88" spans="1:47" ht="16.5" customHeight="1">
      <c r="A88" s="329">
        <v>8</v>
      </c>
      <c r="B88" s="330" t="s">
        <v>256</v>
      </c>
      <c r="C88" s="14" t="s">
        <v>45</v>
      </c>
      <c r="D88" s="52"/>
      <c r="E88" s="14" t="s">
        <v>46</v>
      </c>
      <c r="F88" s="17"/>
      <c r="G88" s="149">
        <v>6</v>
      </c>
      <c r="H88" s="181"/>
      <c r="I88" s="10"/>
      <c r="J88" s="26"/>
      <c r="K88" s="14" t="s">
        <v>54</v>
      </c>
      <c r="L88" s="9"/>
      <c r="M88" s="31"/>
      <c r="N88" s="32"/>
      <c r="O88" s="14" t="s">
        <v>54</v>
      </c>
      <c r="P88" s="9"/>
      <c r="Q88" s="31"/>
      <c r="R88" s="32"/>
      <c r="S88" s="14" t="s">
        <v>54</v>
      </c>
      <c r="T88" s="9"/>
      <c r="U88" s="31"/>
      <c r="V88" s="37"/>
      <c r="W88" s="353"/>
      <c r="X88" s="354"/>
      <c r="Y88" s="354"/>
      <c r="Z88" s="354"/>
      <c r="AA88" s="354"/>
      <c r="AB88" s="355"/>
      <c r="AC88" s="353"/>
      <c r="AD88" s="354"/>
      <c r="AE88" s="354"/>
      <c r="AF88" s="354"/>
      <c r="AG88" s="354"/>
      <c r="AH88" s="355"/>
      <c r="AI88" s="353">
        <v>6</v>
      </c>
      <c r="AJ88" s="354"/>
      <c r="AK88" s="355"/>
      <c r="AL88" s="336">
        <v>1</v>
      </c>
      <c r="AM88" s="53" t="s">
        <v>0</v>
      </c>
      <c r="AN88" s="339"/>
      <c r="AO88" s="340"/>
      <c r="AP88" s="341"/>
      <c r="AQ88" s="336">
        <v>3</v>
      </c>
      <c r="AR88" s="53" t="s">
        <v>0</v>
      </c>
      <c r="AS88" s="339"/>
      <c r="AT88" s="340"/>
      <c r="AU88" s="341"/>
    </row>
    <row r="89" spans="1:47" ht="16.5" customHeight="1">
      <c r="A89" s="329"/>
      <c r="B89" s="330"/>
      <c r="C89" s="15" t="s">
        <v>36</v>
      </c>
      <c r="D89" s="19"/>
      <c r="E89" s="15" t="s">
        <v>73</v>
      </c>
      <c r="F89" s="18"/>
      <c r="G89" s="150">
        <v>7</v>
      </c>
      <c r="H89" s="182"/>
      <c r="I89" s="12"/>
      <c r="J89" s="27"/>
      <c r="K89" s="15" t="s">
        <v>55</v>
      </c>
      <c r="L89" s="11"/>
      <c r="M89" s="33"/>
      <c r="N89" s="34"/>
      <c r="O89" s="15" t="s">
        <v>55</v>
      </c>
      <c r="P89" s="11"/>
      <c r="Q89" s="33"/>
      <c r="R89" s="34"/>
      <c r="S89" s="15" t="s">
        <v>55</v>
      </c>
      <c r="T89" s="11"/>
      <c r="U89" s="33"/>
      <c r="V89" s="38"/>
      <c r="W89" s="346"/>
      <c r="X89" s="342"/>
      <c r="Y89" s="342"/>
      <c r="Z89" s="342"/>
      <c r="AA89" s="342"/>
      <c r="AB89" s="344"/>
      <c r="AC89" s="346"/>
      <c r="AD89" s="342"/>
      <c r="AE89" s="342"/>
      <c r="AF89" s="342"/>
      <c r="AG89" s="342"/>
      <c r="AH89" s="344"/>
      <c r="AI89" s="346"/>
      <c r="AJ89" s="342"/>
      <c r="AK89" s="344"/>
      <c r="AL89" s="337"/>
      <c r="AM89" s="54" t="s">
        <v>97</v>
      </c>
      <c r="AN89" s="176"/>
      <c r="AO89" s="54" t="s">
        <v>212</v>
      </c>
      <c r="AP89" s="178"/>
      <c r="AQ89" s="337"/>
      <c r="AR89" s="54" t="s">
        <v>97</v>
      </c>
      <c r="AS89" s="176"/>
      <c r="AT89" s="179" t="s">
        <v>212</v>
      </c>
      <c r="AU89" s="177"/>
    </row>
    <row r="90" spans="1:47" ht="16.5" customHeight="1">
      <c r="A90" s="329"/>
      <c r="B90" s="330"/>
      <c r="C90" s="15" t="s">
        <v>37</v>
      </c>
      <c r="D90" s="20"/>
      <c r="E90" s="15" t="s">
        <v>47</v>
      </c>
      <c r="F90" s="18"/>
      <c r="G90" s="150">
        <v>8</v>
      </c>
      <c r="H90" s="183"/>
      <c r="I90" s="13"/>
      <c r="J90" s="28"/>
      <c r="K90" s="15" t="s">
        <v>56</v>
      </c>
      <c r="L90" s="11"/>
      <c r="M90" s="33"/>
      <c r="N90" s="34"/>
      <c r="O90" s="15" t="s">
        <v>56</v>
      </c>
      <c r="P90" s="11"/>
      <c r="Q90" s="33"/>
      <c r="R90" s="34"/>
      <c r="S90" s="15" t="s">
        <v>56</v>
      </c>
      <c r="T90" s="11"/>
      <c r="U90" s="33"/>
      <c r="V90" s="38"/>
      <c r="W90" s="346"/>
      <c r="X90" s="342"/>
      <c r="Y90" s="342"/>
      <c r="Z90" s="342"/>
      <c r="AA90" s="342"/>
      <c r="AB90" s="344"/>
      <c r="AC90" s="346"/>
      <c r="AD90" s="342"/>
      <c r="AE90" s="342"/>
      <c r="AF90" s="342"/>
      <c r="AG90" s="342"/>
      <c r="AH90" s="344"/>
      <c r="AI90" s="346"/>
      <c r="AJ90" s="342"/>
      <c r="AK90" s="344"/>
      <c r="AL90" s="337"/>
      <c r="AM90" s="54" t="s">
        <v>98</v>
      </c>
      <c r="AN90" s="56"/>
      <c r="AO90" s="54" t="s">
        <v>13</v>
      </c>
      <c r="AP90" s="59"/>
      <c r="AQ90" s="337"/>
      <c r="AR90" s="54" t="s">
        <v>98</v>
      </c>
      <c r="AS90" s="56"/>
      <c r="AT90" s="54" t="s">
        <v>13</v>
      </c>
      <c r="AU90" s="59"/>
    </row>
    <row r="91" spans="1:47" ht="16.5" customHeight="1">
      <c r="A91" s="329"/>
      <c r="B91" s="330"/>
      <c r="C91" s="15" t="s">
        <v>44</v>
      </c>
      <c r="D91" s="19"/>
      <c r="E91" s="15" t="s">
        <v>65</v>
      </c>
      <c r="F91" s="18"/>
      <c r="G91" s="153"/>
      <c r="H91" s="184"/>
      <c r="I91" s="23"/>
      <c r="J91" s="23"/>
      <c r="K91" s="15" t="s">
        <v>57</v>
      </c>
      <c r="L91" s="11"/>
      <c r="M91" s="33"/>
      <c r="N91" s="34"/>
      <c r="O91" s="15" t="s">
        <v>57</v>
      </c>
      <c r="P91" s="11"/>
      <c r="Q91" s="33"/>
      <c r="R91" s="34"/>
      <c r="S91" s="15" t="s">
        <v>57</v>
      </c>
      <c r="T91" s="11"/>
      <c r="U91" s="33"/>
      <c r="V91" s="38"/>
      <c r="W91" s="346"/>
      <c r="X91" s="342"/>
      <c r="Y91" s="342"/>
      <c r="Z91" s="342"/>
      <c r="AA91" s="342"/>
      <c r="AB91" s="344"/>
      <c r="AC91" s="346"/>
      <c r="AD91" s="342"/>
      <c r="AE91" s="342"/>
      <c r="AF91" s="342"/>
      <c r="AG91" s="342"/>
      <c r="AH91" s="344"/>
      <c r="AI91" s="346">
        <v>7</v>
      </c>
      <c r="AJ91" s="342"/>
      <c r="AK91" s="344"/>
      <c r="AL91" s="337"/>
      <c r="AM91" s="54" t="s">
        <v>99</v>
      </c>
      <c r="AN91" s="57"/>
      <c r="AO91" s="54" t="s">
        <v>13</v>
      </c>
      <c r="AP91" s="60"/>
      <c r="AQ91" s="337"/>
      <c r="AR91" s="54" t="s">
        <v>99</v>
      </c>
      <c r="AS91" s="57"/>
      <c r="AT91" s="54" t="s">
        <v>13</v>
      </c>
      <c r="AU91" s="60"/>
    </row>
    <row r="92" spans="1:47" ht="16.5" customHeight="1">
      <c r="A92" s="329"/>
      <c r="B92" s="330"/>
      <c r="C92" s="15" t="s">
        <v>229</v>
      </c>
      <c r="D92" s="4"/>
      <c r="E92" s="15" t="s">
        <v>48</v>
      </c>
      <c r="F92" s="18"/>
      <c r="G92" s="331" t="s">
        <v>12</v>
      </c>
      <c r="H92" s="332"/>
      <c r="I92" s="332"/>
      <c r="J92" s="332"/>
      <c r="K92" s="15" t="s">
        <v>58</v>
      </c>
      <c r="L92" s="11"/>
      <c r="M92" s="33"/>
      <c r="N92" s="34"/>
      <c r="O92" s="15" t="s">
        <v>58</v>
      </c>
      <c r="P92" s="11"/>
      <c r="Q92" s="33"/>
      <c r="R92" s="34"/>
      <c r="S92" s="15" t="s">
        <v>58</v>
      </c>
      <c r="T92" s="11"/>
      <c r="U92" s="33"/>
      <c r="V92" s="38"/>
      <c r="W92" s="346"/>
      <c r="X92" s="342"/>
      <c r="Y92" s="342"/>
      <c r="Z92" s="342"/>
      <c r="AA92" s="342"/>
      <c r="AB92" s="344"/>
      <c r="AC92" s="346"/>
      <c r="AD92" s="342"/>
      <c r="AE92" s="342"/>
      <c r="AF92" s="342"/>
      <c r="AG92" s="342"/>
      <c r="AH92" s="344"/>
      <c r="AI92" s="346"/>
      <c r="AJ92" s="342"/>
      <c r="AK92" s="344"/>
      <c r="AL92" s="338"/>
      <c r="AM92" s="55" t="s">
        <v>100</v>
      </c>
      <c r="AN92" s="58"/>
      <c r="AO92" s="55" t="s">
        <v>101</v>
      </c>
      <c r="AP92" s="61"/>
      <c r="AQ92" s="338"/>
      <c r="AR92" s="55" t="s">
        <v>100</v>
      </c>
      <c r="AS92" s="58"/>
      <c r="AT92" s="55" t="s">
        <v>101</v>
      </c>
      <c r="AU92" s="61"/>
    </row>
    <row r="93" spans="1:47" ht="16.5" customHeight="1">
      <c r="A93" s="329"/>
      <c r="B93" s="330"/>
      <c r="C93" s="15" t="s">
        <v>38</v>
      </c>
      <c r="D93" s="19"/>
      <c r="E93" s="15" t="s">
        <v>49</v>
      </c>
      <c r="F93" s="18"/>
      <c r="G93" s="8" t="s">
        <v>13</v>
      </c>
      <c r="H93" s="180" t="s">
        <v>14</v>
      </c>
      <c r="I93" s="6" t="s">
        <v>15</v>
      </c>
      <c r="J93" s="6" t="s">
        <v>16</v>
      </c>
      <c r="K93" s="15" t="s">
        <v>59</v>
      </c>
      <c r="L93" s="11"/>
      <c r="M93" s="33"/>
      <c r="N93" s="34"/>
      <c r="O93" s="15" t="s">
        <v>59</v>
      </c>
      <c r="P93" s="11"/>
      <c r="Q93" s="33"/>
      <c r="R93" s="34"/>
      <c r="S93" s="15" t="s">
        <v>59</v>
      </c>
      <c r="T93" s="11"/>
      <c r="U93" s="33"/>
      <c r="V93" s="38"/>
      <c r="W93" s="346"/>
      <c r="X93" s="342"/>
      <c r="Y93" s="342"/>
      <c r="Z93" s="342"/>
      <c r="AA93" s="342"/>
      <c r="AB93" s="344"/>
      <c r="AC93" s="346"/>
      <c r="AD93" s="342"/>
      <c r="AE93" s="342"/>
      <c r="AF93" s="342"/>
      <c r="AG93" s="342"/>
      <c r="AH93" s="344"/>
      <c r="AI93" s="346"/>
      <c r="AJ93" s="342"/>
      <c r="AK93" s="344"/>
      <c r="AL93" s="336">
        <v>2</v>
      </c>
      <c r="AM93" s="53" t="s">
        <v>0</v>
      </c>
      <c r="AN93" s="339"/>
      <c r="AO93" s="340"/>
      <c r="AP93" s="341"/>
      <c r="AQ93" s="336">
        <v>4</v>
      </c>
      <c r="AR93" s="53" t="s">
        <v>0</v>
      </c>
      <c r="AS93" s="339"/>
      <c r="AT93" s="340"/>
      <c r="AU93" s="341"/>
    </row>
    <row r="94" spans="1:47" ht="16.5" customHeight="1">
      <c r="A94" s="329"/>
      <c r="B94" s="330"/>
      <c r="C94" s="15" t="s">
        <v>39</v>
      </c>
      <c r="D94" s="19"/>
      <c r="E94" s="15" t="s">
        <v>50</v>
      </c>
      <c r="F94" s="18"/>
      <c r="G94" s="154">
        <v>6</v>
      </c>
      <c r="H94" s="181"/>
      <c r="I94" s="10"/>
      <c r="J94" s="26"/>
      <c r="K94" s="15" t="s">
        <v>60</v>
      </c>
      <c r="L94" s="11"/>
      <c r="M94" s="33"/>
      <c r="N94" s="34"/>
      <c r="O94" s="15" t="s">
        <v>60</v>
      </c>
      <c r="P94" s="11"/>
      <c r="Q94" s="33"/>
      <c r="R94" s="34"/>
      <c r="S94" s="15" t="s">
        <v>60</v>
      </c>
      <c r="T94" s="11"/>
      <c r="U94" s="33"/>
      <c r="V94" s="38"/>
      <c r="W94" s="346"/>
      <c r="X94" s="342"/>
      <c r="Y94" s="342"/>
      <c r="Z94" s="342"/>
      <c r="AA94" s="342"/>
      <c r="AB94" s="344"/>
      <c r="AC94" s="346"/>
      <c r="AD94" s="342"/>
      <c r="AE94" s="342"/>
      <c r="AF94" s="342"/>
      <c r="AG94" s="342"/>
      <c r="AH94" s="344"/>
      <c r="AI94" s="346">
        <v>8</v>
      </c>
      <c r="AJ94" s="342"/>
      <c r="AK94" s="344"/>
      <c r="AL94" s="337"/>
      <c r="AM94" s="54" t="s">
        <v>97</v>
      </c>
      <c r="AN94" s="176"/>
      <c r="AO94" s="179" t="s">
        <v>212</v>
      </c>
      <c r="AP94" s="177"/>
      <c r="AQ94" s="337"/>
      <c r="AR94" s="54" t="s">
        <v>97</v>
      </c>
      <c r="AS94" s="176"/>
      <c r="AT94" s="179" t="s">
        <v>212</v>
      </c>
      <c r="AU94" s="177"/>
    </row>
    <row r="95" spans="1:47" ht="16.5" customHeight="1">
      <c r="A95" s="329"/>
      <c r="B95" s="330"/>
      <c r="C95" s="15" t="s">
        <v>40</v>
      </c>
      <c r="D95" s="19"/>
      <c r="E95" s="15" t="s">
        <v>51</v>
      </c>
      <c r="F95" s="18"/>
      <c r="G95" s="155">
        <v>7</v>
      </c>
      <c r="H95" s="182"/>
      <c r="I95" s="12"/>
      <c r="J95" s="27"/>
      <c r="K95" s="15" t="s">
        <v>61</v>
      </c>
      <c r="L95" s="11"/>
      <c r="M95" s="33"/>
      <c r="N95" s="34"/>
      <c r="O95" s="15" t="s">
        <v>61</v>
      </c>
      <c r="P95" s="11"/>
      <c r="Q95" s="33"/>
      <c r="R95" s="34"/>
      <c r="S95" s="15" t="s">
        <v>61</v>
      </c>
      <c r="T95" s="11"/>
      <c r="U95" s="33"/>
      <c r="V95" s="38"/>
      <c r="W95" s="346"/>
      <c r="X95" s="342"/>
      <c r="Y95" s="342"/>
      <c r="Z95" s="342"/>
      <c r="AA95" s="342"/>
      <c r="AB95" s="344"/>
      <c r="AC95" s="346"/>
      <c r="AD95" s="342"/>
      <c r="AE95" s="342"/>
      <c r="AF95" s="342"/>
      <c r="AG95" s="342"/>
      <c r="AH95" s="344"/>
      <c r="AI95" s="346"/>
      <c r="AJ95" s="342"/>
      <c r="AK95" s="344"/>
      <c r="AL95" s="337"/>
      <c r="AM95" s="54" t="s">
        <v>98</v>
      </c>
      <c r="AN95" s="56"/>
      <c r="AO95" s="54" t="s">
        <v>13</v>
      </c>
      <c r="AP95" s="59"/>
      <c r="AQ95" s="337"/>
      <c r="AR95" s="54" t="s">
        <v>98</v>
      </c>
      <c r="AS95" s="56"/>
      <c r="AT95" s="54" t="s">
        <v>13</v>
      </c>
      <c r="AU95" s="59"/>
    </row>
    <row r="96" spans="1:47" ht="16.5" customHeight="1">
      <c r="A96" s="329"/>
      <c r="B96" s="330"/>
      <c r="C96" s="15" t="s">
        <v>41</v>
      </c>
      <c r="D96" s="19"/>
      <c r="E96" s="15" t="s">
        <v>52</v>
      </c>
      <c r="F96" s="18"/>
      <c r="G96" s="155">
        <v>8</v>
      </c>
      <c r="H96" s="185"/>
      <c r="I96" s="25"/>
      <c r="J96" s="29"/>
      <c r="K96" s="15" t="s">
        <v>62</v>
      </c>
      <c r="L96" s="11"/>
      <c r="M96" s="33"/>
      <c r="N96" s="34"/>
      <c r="O96" s="15" t="s">
        <v>62</v>
      </c>
      <c r="P96" s="11"/>
      <c r="Q96" s="33"/>
      <c r="R96" s="34"/>
      <c r="S96" s="15" t="s">
        <v>62</v>
      </c>
      <c r="T96" s="11"/>
      <c r="U96" s="33"/>
      <c r="V96" s="38"/>
      <c r="W96" s="346"/>
      <c r="X96" s="342"/>
      <c r="Y96" s="342"/>
      <c r="Z96" s="342"/>
      <c r="AA96" s="342"/>
      <c r="AB96" s="344"/>
      <c r="AC96" s="346"/>
      <c r="AD96" s="342"/>
      <c r="AE96" s="342"/>
      <c r="AF96" s="342"/>
      <c r="AG96" s="342"/>
      <c r="AH96" s="344"/>
      <c r="AI96" s="356"/>
      <c r="AJ96" s="343"/>
      <c r="AK96" s="345"/>
      <c r="AL96" s="337"/>
      <c r="AM96" s="54" t="s">
        <v>99</v>
      </c>
      <c r="AN96" s="57"/>
      <c r="AO96" s="54" t="s">
        <v>13</v>
      </c>
      <c r="AP96" s="60"/>
      <c r="AQ96" s="337"/>
      <c r="AR96" s="54" t="s">
        <v>99</v>
      </c>
      <c r="AS96" s="57"/>
      <c r="AT96" s="54" t="s">
        <v>13</v>
      </c>
      <c r="AU96" s="60"/>
    </row>
    <row r="97" spans="1:47" ht="16.5" customHeight="1">
      <c r="A97" s="329"/>
      <c r="B97" s="330"/>
      <c r="C97" s="15" t="s">
        <v>42</v>
      </c>
      <c r="D97" s="19"/>
      <c r="E97" s="16" t="s">
        <v>53</v>
      </c>
      <c r="F97" s="22"/>
      <c r="G97" s="160"/>
      <c r="H97" s="186"/>
      <c r="I97" s="161"/>
      <c r="J97" s="161"/>
      <c r="K97" s="15" t="s">
        <v>63</v>
      </c>
      <c r="L97" s="11"/>
      <c r="M97" s="33"/>
      <c r="N97" s="34"/>
      <c r="O97" s="15" t="s">
        <v>63</v>
      </c>
      <c r="P97" s="11"/>
      <c r="Q97" s="33"/>
      <c r="R97" s="34"/>
      <c r="S97" s="15" t="s">
        <v>63</v>
      </c>
      <c r="T97" s="11"/>
      <c r="U97" s="33"/>
      <c r="V97" s="38"/>
      <c r="W97" s="356"/>
      <c r="X97" s="343"/>
      <c r="Y97" s="343"/>
      <c r="Z97" s="343"/>
      <c r="AA97" s="343"/>
      <c r="AB97" s="345"/>
      <c r="AC97" s="356"/>
      <c r="AD97" s="343"/>
      <c r="AE97" s="343"/>
      <c r="AF97" s="343"/>
      <c r="AG97" s="343"/>
      <c r="AH97" s="345"/>
      <c r="AI97" s="172"/>
      <c r="AJ97" s="173"/>
      <c r="AK97" s="174"/>
      <c r="AL97" s="338"/>
      <c r="AM97" s="55" t="s">
        <v>100</v>
      </c>
      <c r="AN97" s="58"/>
      <c r="AO97" s="55" t="s">
        <v>101</v>
      </c>
      <c r="AP97" s="61"/>
      <c r="AQ97" s="338"/>
      <c r="AR97" s="55" t="s">
        <v>100</v>
      </c>
      <c r="AS97" s="58"/>
      <c r="AT97" s="55" t="s">
        <v>101</v>
      </c>
      <c r="AU97" s="61"/>
    </row>
    <row r="98" spans="1:47" ht="16.5" customHeight="1">
      <c r="A98" s="329"/>
      <c r="B98" s="330"/>
      <c r="C98" s="16" t="s">
        <v>43</v>
      </c>
      <c r="D98" s="21"/>
      <c r="E98" s="189" t="s">
        <v>293</v>
      </c>
      <c r="F98" s="190" t="s">
        <v>186</v>
      </c>
      <c r="G98" s="162"/>
      <c r="H98" s="187"/>
      <c r="I98" s="163"/>
      <c r="J98" s="163"/>
      <c r="K98" s="30" t="s">
        <v>64</v>
      </c>
      <c r="L98" s="24"/>
      <c r="M98" s="35"/>
      <c r="N98" s="36"/>
      <c r="O98" s="30" t="s">
        <v>64</v>
      </c>
      <c r="P98" s="24"/>
      <c r="Q98" s="35"/>
      <c r="R98" s="36"/>
      <c r="S98" s="30" t="s">
        <v>64</v>
      </c>
      <c r="T98" s="24"/>
      <c r="U98" s="35"/>
      <c r="V98" s="39"/>
      <c r="W98" s="156"/>
      <c r="X98" s="157"/>
      <c r="Y98" s="165"/>
      <c r="Z98" s="165"/>
      <c r="AA98" s="166"/>
      <c r="AB98" s="167"/>
      <c r="AC98" s="168"/>
      <c r="AD98" s="169"/>
      <c r="AE98" s="170"/>
      <c r="AF98" s="170"/>
      <c r="AG98" s="170"/>
      <c r="AH98" s="171"/>
      <c r="AI98" s="168"/>
      <c r="AJ98" s="169"/>
      <c r="AK98" s="171"/>
      <c r="AL98" s="175"/>
      <c r="AM98" s="158"/>
      <c r="AN98" s="158"/>
      <c r="AO98" s="158"/>
      <c r="AP98" s="159"/>
      <c r="AQ98" s="175"/>
      <c r="AR98" s="158"/>
      <c r="AS98" s="158"/>
      <c r="AT98" s="158"/>
      <c r="AU98" s="159"/>
    </row>
    <row r="99" spans="1:47" ht="16.5" customHeight="1"/>
    <row r="100" spans="1:47" ht="16.5" customHeight="1">
      <c r="A100" s="329">
        <v>9</v>
      </c>
      <c r="B100" s="330" t="s">
        <v>257</v>
      </c>
      <c r="C100" s="14" t="s">
        <v>45</v>
      </c>
      <c r="D100" s="52"/>
      <c r="E100" s="14" t="s">
        <v>46</v>
      </c>
      <c r="F100" s="17"/>
      <c r="G100" s="149">
        <v>6</v>
      </c>
      <c r="H100" s="181"/>
      <c r="I100" s="10"/>
      <c r="J100" s="26"/>
      <c r="K100" s="14" t="s">
        <v>54</v>
      </c>
      <c r="L100" s="9"/>
      <c r="M100" s="31"/>
      <c r="N100" s="32"/>
      <c r="O100" s="14" t="s">
        <v>54</v>
      </c>
      <c r="P100" s="9"/>
      <c r="Q100" s="31"/>
      <c r="R100" s="32"/>
      <c r="S100" s="14" t="s">
        <v>54</v>
      </c>
      <c r="T100" s="9"/>
      <c r="U100" s="31"/>
      <c r="V100" s="37"/>
      <c r="W100" s="353"/>
      <c r="X100" s="354"/>
      <c r="Y100" s="354"/>
      <c r="Z100" s="354"/>
      <c r="AA100" s="354"/>
      <c r="AB100" s="355"/>
      <c r="AC100" s="353"/>
      <c r="AD100" s="354"/>
      <c r="AE100" s="354"/>
      <c r="AF100" s="354"/>
      <c r="AG100" s="354"/>
      <c r="AH100" s="355"/>
      <c r="AI100" s="353">
        <v>6</v>
      </c>
      <c r="AJ100" s="354"/>
      <c r="AK100" s="355"/>
      <c r="AL100" s="336">
        <v>1</v>
      </c>
      <c r="AM100" s="53" t="s">
        <v>0</v>
      </c>
      <c r="AN100" s="339"/>
      <c r="AO100" s="340"/>
      <c r="AP100" s="341"/>
      <c r="AQ100" s="336">
        <v>3</v>
      </c>
      <c r="AR100" s="53" t="s">
        <v>0</v>
      </c>
      <c r="AS100" s="339"/>
      <c r="AT100" s="340"/>
      <c r="AU100" s="341"/>
    </row>
    <row r="101" spans="1:47" ht="16.5" customHeight="1">
      <c r="A101" s="329"/>
      <c r="B101" s="330"/>
      <c r="C101" s="15" t="s">
        <v>36</v>
      </c>
      <c r="D101" s="19"/>
      <c r="E101" s="15" t="s">
        <v>73</v>
      </c>
      <c r="F101" s="18"/>
      <c r="G101" s="150">
        <v>7</v>
      </c>
      <c r="H101" s="182"/>
      <c r="I101" s="12"/>
      <c r="J101" s="27"/>
      <c r="K101" s="15" t="s">
        <v>55</v>
      </c>
      <c r="L101" s="11"/>
      <c r="M101" s="33"/>
      <c r="N101" s="34"/>
      <c r="O101" s="15" t="s">
        <v>55</v>
      </c>
      <c r="P101" s="11"/>
      <c r="Q101" s="33"/>
      <c r="R101" s="34"/>
      <c r="S101" s="15" t="s">
        <v>55</v>
      </c>
      <c r="T101" s="11"/>
      <c r="U101" s="33"/>
      <c r="V101" s="38"/>
      <c r="W101" s="346"/>
      <c r="X101" s="342"/>
      <c r="Y101" s="342"/>
      <c r="Z101" s="342"/>
      <c r="AA101" s="342"/>
      <c r="AB101" s="344"/>
      <c r="AC101" s="346"/>
      <c r="AD101" s="342"/>
      <c r="AE101" s="342"/>
      <c r="AF101" s="342"/>
      <c r="AG101" s="342"/>
      <c r="AH101" s="344"/>
      <c r="AI101" s="346"/>
      <c r="AJ101" s="342"/>
      <c r="AK101" s="344"/>
      <c r="AL101" s="337"/>
      <c r="AM101" s="54" t="s">
        <v>97</v>
      </c>
      <c r="AN101" s="176"/>
      <c r="AO101" s="54" t="s">
        <v>212</v>
      </c>
      <c r="AP101" s="178"/>
      <c r="AQ101" s="337"/>
      <c r="AR101" s="54" t="s">
        <v>97</v>
      </c>
      <c r="AS101" s="176"/>
      <c r="AT101" s="179" t="s">
        <v>212</v>
      </c>
      <c r="AU101" s="177"/>
    </row>
    <row r="102" spans="1:47" ht="16.5" customHeight="1">
      <c r="A102" s="329"/>
      <c r="B102" s="330"/>
      <c r="C102" s="15" t="s">
        <v>37</v>
      </c>
      <c r="D102" s="20"/>
      <c r="E102" s="15" t="s">
        <v>47</v>
      </c>
      <c r="F102" s="18"/>
      <c r="G102" s="150">
        <v>8</v>
      </c>
      <c r="H102" s="183"/>
      <c r="I102" s="13"/>
      <c r="J102" s="28"/>
      <c r="K102" s="15" t="s">
        <v>56</v>
      </c>
      <c r="L102" s="11"/>
      <c r="M102" s="33"/>
      <c r="N102" s="34"/>
      <c r="O102" s="15" t="s">
        <v>56</v>
      </c>
      <c r="P102" s="11"/>
      <c r="Q102" s="33"/>
      <c r="R102" s="34"/>
      <c r="S102" s="15" t="s">
        <v>56</v>
      </c>
      <c r="T102" s="11"/>
      <c r="U102" s="33"/>
      <c r="V102" s="38"/>
      <c r="W102" s="346"/>
      <c r="X102" s="342"/>
      <c r="Y102" s="342"/>
      <c r="Z102" s="342"/>
      <c r="AA102" s="342"/>
      <c r="AB102" s="344"/>
      <c r="AC102" s="346"/>
      <c r="AD102" s="342"/>
      <c r="AE102" s="342"/>
      <c r="AF102" s="342"/>
      <c r="AG102" s="342"/>
      <c r="AH102" s="344"/>
      <c r="AI102" s="346"/>
      <c r="AJ102" s="342"/>
      <c r="AK102" s="344"/>
      <c r="AL102" s="337"/>
      <c r="AM102" s="54" t="s">
        <v>98</v>
      </c>
      <c r="AN102" s="56"/>
      <c r="AO102" s="54" t="s">
        <v>13</v>
      </c>
      <c r="AP102" s="59"/>
      <c r="AQ102" s="337"/>
      <c r="AR102" s="54" t="s">
        <v>98</v>
      </c>
      <c r="AS102" s="56"/>
      <c r="AT102" s="54" t="s">
        <v>13</v>
      </c>
      <c r="AU102" s="59"/>
    </row>
    <row r="103" spans="1:47" ht="16.5" customHeight="1">
      <c r="A103" s="329"/>
      <c r="B103" s="330"/>
      <c r="C103" s="15" t="s">
        <v>44</v>
      </c>
      <c r="D103" s="19"/>
      <c r="E103" s="15" t="s">
        <v>65</v>
      </c>
      <c r="F103" s="18"/>
      <c r="G103" s="153"/>
      <c r="H103" s="184"/>
      <c r="I103" s="23"/>
      <c r="J103" s="23"/>
      <c r="K103" s="15" t="s">
        <v>57</v>
      </c>
      <c r="L103" s="11"/>
      <c r="M103" s="33"/>
      <c r="N103" s="34"/>
      <c r="O103" s="15" t="s">
        <v>57</v>
      </c>
      <c r="P103" s="11"/>
      <c r="Q103" s="33"/>
      <c r="R103" s="34"/>
      <c r="S103" s="15" t="s">
        <v>57</v>
      </c>
      <c r="T103" s="11"/>
      <c r="U103" s="33"/>
      <c r="V103" s="38"/>
      <c r="W103" s="346"/>
      <c r="X103" s="342"/>
      <c r="Y103" s="342"/>
      <c r="Z103" s="342"/>
      <c r="AA103" s="342"/>
      <c r="AB103" s="344"/>
      <c r="AC103" s="346"/>
      <c r="AD103" s="342"/>
      <c r="AE103" s="342"/>
      <c r="AF103" s="342"/>
      <c r="AG103" s="342"/>
      <c r="AH103" s="344"/>
      <c r="AI103" s="346">
        <v>7</v>
      </c>
      <c r="AJ103" s="342"/>
      <c r="AK103" s="344"/>
      <c r="AL103" s="337"/>
      <c r="AM103" s="54" t="s">
        <v>99</v>
      </c>
      <c r="AN103" s="57"/>
      <c r="AO103" s="54" t="s">
        <v>13</v>
      </c>
      <c r="AP103" s="60"/>
      <c r="AQ103" s="337"/>
      <c r="AR103" s="54" t="s">
        <v>99</v>
      </c>
      <c r="AS103" s="57"/>
      <c r="AT103" s="54" t="s">
        <v>13</v>
      </c>
      <c r="AU103" s="60"/>
    </row>
    <row r="104" spans="1:47" ht="16.5" customHeight="1">
      <c r="A104" s="329"/>
      <c r="B104" s="330"/>
      <c r="C104" s="15" t="s">
        <v>229</v>
      </c>
      <c r="D104" s="4"/>
      <c r="E104" s="15" t="s">
        <v>48</v>
      </c>
      <c r="F104" s="18"/>
      <c r="G104" s="331" t="s">
        <v>12</v>
      </c>
      <c r="H104" s="332"/>
      <c r="I104" s="332"/>
      <c r="J104" s="332"/>
      <c r="K104" s="15" t="s">
        <v>58</v>
      </c>
      <c r="L104" s="11"/>
      <c r="M104" s="33"/>
      <c r="N104" s="34"/>
      <c r="O104" s="15" t="s">
        <v>58</v>
      </c>
      <c r="P104" s="11"/>
      <c r="Q104" s="33"/>
      <c r="R104" s="34"/>
      <c r="S104" s="15" t="s">
        <v>58</v>
      </c>
      <c r="T104" s="11"/>
      <c r="U104" s="33"/>
      <c r="V104" s="38"/>
      <c r="W104" s="346"/>
      <c r="X104" s="342"/>
      <c r="Y104" s="342"/>
      <c r="Z104" s="342"/>
      <c r="AA104" s="342"/>
      <c r="AB104" s="344"/>
      <c r="AC104" s="346"/>
      <c r="AD104" s="342"/>
      <c r="AE104" s="342"/>
      <c r="AF104" s="342"/>
      <c r="AG104" s="342"/>
      <c r="AH104" s="344"/>
      <c r="AI104" s="346"/>
      <c r="AJ104" s="342"/>
      <c r="AK104" s="344"/>
      <c r="AL104" s="338"/>
      <c r="AM104" s="55" t="s">
        <v>100</v>
      </c>
      <c r="AN104" s="58"/>
      <c r="AO104" s="55" t="s">
        <v>101</v>
      </c>
      <c r="AP104" s="61"/>
      <c r="AQ104" s="338"/>
      <c r="AR104" s="55" t="s">
        <v>100</v>
      </c>
      <c r="AS104" s="58"/>
      <c r="AT104" s="55" t="s">
        <v>101</v>
      </c>
      <c r="AU104" s="61"/>
    </row>
    <row r="105" spans="1:47" ht="16.5" customHeight="1">
      <c r="A105" s="329"/>
      <c r="B105" s="330"/>
      <c r="C105" s="15" t="s">
        <v>38</v>
      </c>
      <c r="D105" s="19"/>
      <c r="E105" s="15" t="s">
        <v>49</v>
      </c>
      <c r="F105" s="18"/>
      <c r="G105" s="8" t="s">
        <v>13</v>
      </c>
      <c r="H105" s="180" t="s">
        <v>14</v>
      </c>
      <c r="I105" s="6" t="s">
        <v>15</v>
      </c>
      <c r="J105" s="6" t="s">
        <v>16</v>
      </c>
      <c r="K105" s="15" t="s">
        <v>59</v>
      </c>
      <c r="L105" s="11"/>
      <c r="M105" s="33"/>
      <c r="N105" s="34"/>
      <c r="O105" s="15" t="s">
        <v>59</v>
      </c>
      <c r="P105" s="11"/>
      <c r="Q105" s="33"/>
      <c r="R105" s="34"/>
      <c r="S105" s="15" t="s">
        <v>59</v>
      </c>
      <c r="T105" s="11"/>
      <c r="U105" s="33"/>
      <c r="V105" s="38"/>
      <c r="W105" s="346"/>
      <c r="X105" s="342"/>
      <c r="Y105" s="342"/>
      <c r="Z105" s="342"/>
      <c r="AA105" s="342"/>
      <c r="AB105" s="344"/>
      <c r="AC105" s="346"/>
      <c r="AD105" s="342"/>
      <c r="AE105" s="342"/>
      <c r="AF105" s="342"/>
      <c r="AG105" s="342"/>
      <c r="AH105" s="344"/>
      <c r="AI105" s="346"/>
      <c r="AJ105" s="342"/>
      <c r="AK105" s="344"/>
      <c r="AL105" s="336">
        <v>2</v>
      </c>
      <c r="AM105" s="53" t="s">
        <v>0</v>
      </c>
      <c r="AN105" s="339"/>
      <c r="AO105" s="340"/>
      <c r="AP105" s="341"/>
      <c r="AQ105" s="336">
        <v>4</v>
      </c>
      <c r="AR105" s="53" t="s">
        <v>0</v>
      </c>
      <c r="AS105" s="339"/>
      <c r="AT105" s="340"/>
      <c r="AU105" s="341"/>
    </row>
    <row r="106" spans="1:47" ht="16.5" customHeight="1">
      <c r="A106" s="329"/>
      <c r="B106" s="330"/>
      <c r="C106" s="15" t="s">
        <v>39</v>
      </c>
      <c r="D106" s="19"/>
      <c r="E106" s="15" t="s">
        <v>50</v>
      </c>
      <c r="F106" s="18"/>
      <c r="G106" s="154">
        <v>6</v>
      </c>
      <c r="H106" s="181"/>
      <c r="I106" s="10"/>
      <c r="J106" s="26"/>
      <c r="K106" s="15" t="s">
        <v>60</v>
      </c>
      <c r="L106" s="11"/>
      <c r="M106" s="33"/>
      <c r="N106" s="34"/>
      <c r="O106" s="15" t="s">
        <v>60</v>
      </c>
      <c r="P106" s="11"/>
      <c r="Q106" s="33"/>
      <c r="R106" s="34"/>
      <c r="S106" s="15" t="s">
        <v>60</v>
      </c>
      <c r="T106" s="11"/>
      <c r="U106" s="33"/>
      <c r="V106" s="38"/>
      <c r="W106" s="346"/>
      <c r="X106" s="342"/>
      <c r="Y106" s="342"/>
      <c r="Z106" s="342"/>
      <c r="AA106" s="342"/>
      <c r="AB106" s="344"/>
      <c r="AC106" s="346"/>
      <c r="AD106" s="342"/>
      <c r="AE106" s="342"/>
      <c r="AF106" s="342"/>
      <c r="AG106" s="342"/>
      <c r="AH106" s="344"/>
      <c r="AI106" s="346">
        <v>8</v>
      </c>
      <c r="AJ106" s="342"/>
      <c r="AK106" s="344"/>
      <c r="AL106" s="337"/>
      <c r="AM106" s="54" t="s">
        <v>97</v>
      </c>
      <c r="AN106" s="176"/>
      <c r="AO106" s="179" t="s">
        <v>212</v>
      </c>
      <c r="AP106" s="177"/>
      <c r="AQ106" s="337"/>
      <c r="AR106" s="54" t="s">
        <v>97</v>
      </c>
      <c r="AS106" s="176"/>
      <c r="AT106" s="179" t="s">
        <v>212</v>
      </c>
      <c r="AU106" s="177"/>
    </row>
    <row r="107" spans="1:47" ht="16.5" customHeight="1">
      <c r="A107" s="329"/>
      <c r="B107" s="330"/>
      <c r="C107" s="15" t="s">
        <v>40</v>
      </c>
      <c r="D107" s="19"/>
      <c r="E107" s="15" t="s">
        <v>51</v>
      </c>
      <c r="F107" s="18"/>
      <c r="G107" s="155">
        <v>7</v>
      </c>
      <c r="H107" s="182"/>
      <c r="I107" s="12"/>
      <c r="J107" s="27"/>
      <c r="K107" s="15" t="s">
        <v>61</v>
      </c>
      <c r="L107" s="11"/>
      <c r="M107" s="33"/>
      <c r="N107" s="34"/>
      <c r="O107" s="15" t="s">
        <v>61</v>
      </c>
      <c r="P107" s="11"/>
      <c r="Q107" s="33"/>
      <c r="R107" s="34"/>
      <c r="S107" s="15" t="s">
        <v>61</v>
      </c>
      <c r="T107" s="11"/>
      <c r="U107" s="33"/>
      <c r="V107" s="38"/>
      <c r="W107" s="346"/>
      <c r="X107" s="342"/>
      <c r="Y107" s="342"/>
      <c r="Z107" s="342"/>
      <c r="AA107" s="342"/>
      <c r="AB107" s="344"/>
      <c r="AC107" s="346"/>
      <c r="AD107" s="342"/>
      <c r="AE107" s="342"/>
      <c r="AF107" s="342"/>
      <c r="AG107" s="342"/>
      <c r="AH107" s="344"/>
      <c r="AI107" s="346"/>
      <c r="AJ107" s="342"/>
      <c r="AK107" s="344"/>
      <c r="AL107" s="337"/>
      <c r="AM107" s="54" t="s">
        <v>98</v>
      </c>
      <c r="AN107" s="56"/>
      <c r="AO107" s="54" t="s">
        <v>13</v>
      </c>
      <c r="AP107" s="59"/>
      <c r="AQ107" s="337"/>
      <c r="AR107" s="54" t="s">
        <v>98</v>
      </c>
      <c r="AS107" s="56"/>
      <c r="AT107" s="54" t="s">
        <v>13</v>
      </c>
      <c r="AU107" s="59"/>
    </row>
    <row r="108" spans="1:47" ht="16.5" customHeight="1">
      <c r="A108" s="329"/>
      <c r="B108" s="330"/>
      <c r="C108" s="15" t="s">
        <v>41</v>
      </c>
      <c r="D108" s="19"/>
      <c r="E108" s="15" t="s">
        <v>52</v>
      </c>
      <c r="F108" s="18"/>
      <c r="G108" s="155">
        <v>8</v>
      </c>
      <c r="H108" s="185"/>
      <c r="I108" s="25"/>
      <c r="J108" s="29"/>
      <c r="K108" s="15" t="s">
        <v>62</v>
      </c>
      <c r="L108" s="11"/>
      <c r="M108" s="33"/>
      <c r="N108" s="34"/>
      <c r="O108" s="15" t="s">
        <v>62</v>
      </c>
      <c r="P108" s="11"/>
      <c r="Q108" s="33"/>
      <c r="R108" s="34"/>
      <c r="S108" s="15" t="s">
        <v>62</v>
      </c>
      <c r="T108" s="11"/>
      <c r="U108" s="33"/>
      <c r="V108" s="38"/>
      <c r="W108" s="346"/>
      <c r="X108" s="342"/>
      <c r="Y108" s="342"/>
      <c r="Z108" s="342"/>
      <c r="AA108" s="342"/>
      <c r="AB108" s="344"/>
      <c r="AC108" s="346"/>
      <c r="AD108" s="342"/>
      <c r="AE108" s="342"/>
      <c r="AF108" s="342"/>
      <c r="AG108" s="342"/>
      <c r="AH108" s="344"/>
      <c r="AI108" s="356"/>
      <c r="AJ108" s="343"/>
      <c r="AK108" s="345"/>
      <c r="AL108" s="337"/>
      <c r="AM108" s="54" t="s">
        <v>99</v>
      </c>
      <c r="AN108" s="57"/>
      <c r="AO108" s="54" t="s">
        <v>13</v>
      </c>
      <c r="AP108" s="60"/>
      <c r="AQ108" s="337"/>
      <c r="AR108" s="54" t="s">
        <v>99</v>
      </c>
      <c r="AS108" s="57"/>
      <c r="AT108" s="54" t="s">
        <v>13</v>
      </c>
      <c r="AU108" s="60"/>
    </row>
    <row r="109" spans="1:47" ht="16.5" customHeight="1">
      <c r="A109" s="329"/>
      <c r="B109" s="330"/>
      <c r="C109" s="15" t="s">
        <v>42</v>
      </c>
      <c r="D109" s="19"/>
      <c r="E109" s="16" t="s">
        <v>53</v>
      </c>
      <c r="F109" s="22"/>
      <c r="G109" s="160"/>
      <c r="H109" s="186"/>
      <c r="I109" s="161"/>
      <c r="J109" s="161"/>
      <c r="K109" s="15" t="s">
        <v>63</v>
      </c>
      <c r="L109" s="11"/>
      <c r="M109" s="33"/>
      <c r="N109" s="34"/>
      <c r="O109" s="15" t="s">
        <v>63</v>
      </c>
      <c r="P109" s="11"/>
      <c r="Q109" s="33"/>
      <c r="R109" s="34"/>
      <c r="S109" s="15" t="s">
        <v>63</v>
      </c>
      <c r="T109" s="11"/>
      <c r="U109" s="33"/>
      <c r="V109" s="38"/>
      <c r="W109" s="356"/>
      <c r="X109" s="343"/>
      <c r="Y109" s="343"/>
      <c r="Z109" s="343"/>
      <c r="AA109" s="343"/>
      <c r="AB109" s="345"/>
      <c r="AC109" s="356"/>
      <c r="AD109" s="343"/>
      <c r="AE109" s="343"/>
      <c r="AF109" s="343"/>
      <c r="AG109" s="343"/>
      <c r="AH109" s="345"/>
      <c r="AI109" s="172"/>
      <c r="AJ109" s="173"/>
      <c r="AK109" s="174"/>
      <c r="AL109" s="338"/>
      <c r="AM109" s="55" t="s">
        <v>100</v>
      </c>
      <c r="AN109" s="58"/>
      <c r="AO109" s="55" t="s">
        <v>101</v>
      </c>
      <c r="AP109" s="61"/>
      <c r="AQ109" s="338"/>
      <c r="AR109" s="55" t="s">
        <v>100</v>
      </c>
      <c r="AS109" s="58"/>
      <c r="AT109" s="55" t="s">
        <v>101</v>
      </c>
      <c r="AU109" s="61"/>
    </row>
    <row r="110" spans="1:47" ht="16.5" customHeight="1">
      <c r="A110" s="329"/>
      <c r="B110" s="330"/>
      <c r="C110" s="16" t="s">
        <v>43</v>
      </c>
      <c r="D110" s="21"/>
      <c r="E110" s="189" t="s">
        <v>293</v>
      </c>
      <c r="F110" s="190" t="s">
        <v>186</v>
      </c>
      <c r="G110" s="162"/>
      <c r="H110" s="187"/>
      <c r="I110" s="163"/>
      <c r="J110" s="163"/>
      <c r="K110" s="30" t="s">
        <v>64</v>
      </c>
      <c r="L110" s="24"/>
      <c r="M110" s="35"/>
      <c r="N110" s="36"/>
      <c r="O110" s="30" t="s">
        <v>64</v>
      </c>
      <c r="P110" s="24"/>
      <c r="Q110" s="35"/>
      <c r="R110" s="36"/>
      <c r="S110" s="30" t="s">
        <v>64</v>
      </c>
      <c r="T110" s="24"/>
      <c r="U110" s="35"/>
      <c r="V110" s="39"/>
      <c r="W110" s="156"/>
      <c r="X110" s="157"/>
      <c r="Y110" s="165"/>
      <c r="Z110" s="165"/>
      <c r="AA110" s="166"/>
      <c r="AB110" s="167"/>
      <c r="AC110" s="168"/>
      <c r="AD110" s="169"/>
      <c r="AE110" s="170"/>
      <c r="AF110" s="170"/>
      <c r="AG110" s="170"/>
      <c r="AH110" s="171"/>
      <c r="AI110" s="168"/>
      <c r="AJ110" s="169"/>
      <c r="AK110" s="171"/>
      <c r="AL110" s="175"/>
      <c r="AM110" s="158"/>
      <c r="AN110" s="158"/>
      <c r="AO110" s="158"/>
      <c r="AP110" s="159"/>
      <c r="AQ110" s="175"/>
      <c r="AR110" s="158"/>
      <c r="AS110" s="158"/>
      <c r="AT110" s="158"/>
      <c r="AU110" s="159"/>
    </row>
    <row r="111" spans="1:47" ht="16.5" customHeight="1"/>
    <row r="112" spans="1:47" ht="16.5" customHeight="1">
      <c r="A112" s="329">
        <v>10</v>
      </c>
      <c r="B112" s="330" t="s">
        <v>258</v>
      </c>
      <c r="C112" s="14" t="s">
        <v>45</v>
      </c>
      <c r="D112" s="52"/>
      <c r="E112" s="14" t="s">
        <v>46</v>
      </c>
      <c r="F112" s="17"/>
      <c r="G112" s="149">
        <v>6</v>
      </c>
      <c r="H112" s="181"/>
      <c r="I112" s="10"/>
      <c r="J112" s="26"/>
      <c r="K112" s="14" t="s">
        <v>54</v>
      </c>
      <c r="L112" s="9"/>
      <c r="M112" s="31"/>
      <c r="N112" s="32"/>
      <c r="O112" s="14" t="s">
        <v>54</v>
      </c>
      <c r="P112" s="9"/>
      <c r="Q112" s="31"/>
      <c r="R112" s="32"/>
      <c r="S112" s="14" t="s">
        <v>54</v>
      </c>
      <c r="T112" s="9"/>
      <c r="U112" s="31"/>
      <c r="V112" s="37"/>
      <c r="W112" s="353"/>
      <c r="X112" s="354"/>
      <c r="Y112" s="354"/>
      <c r="Z112" s="354"/>
      <c r="AA112" s="354"/>
      <c r="AB112" s="355"/>
      <c r="AC112" s="353"/>
      <c r="AD112" s="354"/>
      <c r="AE112" s="354"/>
      <c r="AF112" s="354"/>
      <c r="AG112" s="354"/>
      <c r="AH112" s="355"/>
      <c r="AI112" s="353">
        <v>6</v>
      </c>
      <c r="AJ112" s="354"/>
      <c r="AK112" s="355"/>
      <c r="AL112" s="336">
        <v>1</v>
      </c>
      <c r="AM112" s="53" t="s">
        <v>0</v>
      </c>
      <c r="AN112" s="339"/>
      <c r="AO112" s="340"/>
      <c r="AP112" s="341"/>
      <c r="AQ112" s="336">
        <v>3</v>
      </c>
      <c r="AR112" s="53" t="s">
        <v>0</v>
      </c>
      <c r="AS112" s="339"/>
      <c r="AT112" s="340"/>
      <c r="AU112" s="341"/>
    </row>
    <row r="113" spans="1:47" ht="16.5" customHeight="1">
      <c r="A113" s="329"/>
      <c r="B113" s="330"/>
      <c r="C113" s="15" t="s">
        <v>36</v>
      </c>
      <c r="D113" s="19"/>
      <c r="E113" s="15" t="s">
        <v>73</v>
      </c>
      <c r="F113" s="18"/>
      <c r="G113" s="150">
        <v>7</v>
      </c>
      <c r="H113" s="182"/>
      <c r="I113" s="12"/>
      <c r="J113" s="27"/>
      <c r="K113" s="15" t="s">
        <v>55</v>
      </c>
      <c r="L113" s="11"/>
      <c r="M113" s="33"/>
      <c r="N113" s="34"/>
      <c r="O113" s="15" t="s">
        <v>55</v>
      </c>
      <c r="P113" s="11"/>
      <c r="Q113" s="33"/>
      <c r="R113" s="34"/>
      <c r="S113" s="15" t="s">
        <v>55</v>
      </c>
      <c r="T113" s="11"/>
      <c r="U113" s="33"/>
      <c r="V113" s="38"/>
      <c r="W113" s="346"/>
      <c r="X113" s="342"/>
      <c r="Y113" s="342"/>
      <c r="Z113" s="342"/>
      <c r="AA113" s="342"/>
      <c r="AB113" s="344"/>
      <c r="AC113" s="346"/>
      <c r="AD113" s="342"/>
      <c r="AE113" s="342"/>
      <c r="AF113" s="342"/>
      <c r="AG113" s="342"/>
      <c r="AH113" s="344"/>
      <c r="AI113" s="346"/>
      <c r="AJ113" s="342"/>
      <c r="AK113" s="344"/>
      <c r="AL113" s="337"/>
      <c r="AM113" s="54" t="s">
        <v>97</v>
      </c>
      <c r="AN113" s="176"/>
      <c r="AO113" s="54" t="s">
        <v>212</v>
      </c>
      <c r="AP113" s="178"/>
      <c r="AQ113" s="337"/>
      <c r="AR113" s="54" t="s">
        <v>97</v>
      </c>
      <c r="AS113" s="176"/>
      <c r="AT113" s="179" t="s">
        <v>212</v>
      </c>
      <c r="AU113" s="177"/>
    </row>
    <row r="114" spans="1:47" ht="16.5" customHeight="1">
      <c r="A114" s="329"/>
      <c r="B114" s="330"/>
      <c r="C114" s="15" t="s">
        <v>37</v>
      </c>
      <c r="D114" s="20"/>
      <c r="E114" s="15" t="s">
        <v>47</v>
      </c>
      <c r="F114" s="18"/>
      <c r="G114" s="150">
        <v>8</v>
      </c>
      <c r="H114" s="183"/>
      <c r="I114" s="13"/>
      <c r="J114" s="28"/>
      <c r="K114" s="15" t="s">
        <v>56</v>
      </c>
      <c r="L114" s="11"/>
      <c r="M114" s="33"/>
      <c r="N114" s="34"/>
      <c r="O114" s="15" t="s">
        <v>56</v>
      </c>
      <c r="P114" s="11"/>
      <c r="Q114" s="33"/>
      <c r="R114" s="34"/>
      <c r="S114" s="15" t="s">
        <v>56</v>
      </c>
      <c r="T114" s="11"/>
      <c r="U114" s="33"/>
      <c r="V114" s="38"/>
      <c r="W114" s="346"/>
      <c r="X114" s="342"/>
      <c r="Y114" s="342"/>
      <c r="Z114" s="342"/>
      <c r="AA114" s="342"/>
      <c r="AB114" s="344"/>
      <c r="AC114" s="346"/>
      <c r="AD114" s="342"/>
      <c r="AE114" s="342"/>
      <c r="AF114" s="342"/>
      <c r="AG114" s="342"/>
      <c r="AH114" s="344"/>
      <c r="AI114" s="346"/>
      <c r="AJ114" s="342"/>
      <c r="AK114" s="344"/>
      <c r="AL114" s="337"/>
      <c r="AM114" s="54" t="s">
        <v>98</v>
      </c>
      <c r="AN114" s="56"/>
      <c r="AO114" s="54" t="s">
        <v>13</v>
      </c>
      <c r="AP114" s="59"/>
      <c r="AQ114" s="337"/>
      <c r="AR114" s="54" t="s">
        <v>98</v>
      </c>
      <c r="AS114" s="56"/>
      <c r="AT114" s="54" t="s">
        <v>13</v>
      </c>
      <c r="AU114" s="59"/>
    </row>
    <row r="115" spans="1:47" ht="16.5" customHeight="1">
      <c r="A115" s="329"/>
      <c r="B115" s="330"/>
      <c r="C115" s="15" t="s">
        <v>44</v>
      </c>
      <c r="D115" s="19"/>
      <c r="E115" s="15" t="s">
        <v>65</v>
      </c>
      <c r="F115" s="18"/>
      <c r="G115" s="153"/>
      <c r="H115" s="184"/>
      <c r="I115" s="23"/>
      <c r="J115" s="23"/>
      <c r="K115" s="15" t="s">
        <v>57</v>
      </c>
      <c r="L115" s="11"/>
      <c r="M115" s="33"/>
      <c r="N115" s="34"/>
      <c r="O115" s="15" t="s">
        <v>57</v>
      </c>
      <c r="P115" s="11"/>
      <c r="Q115" s="33"/>
      <c r="R115" s="34"/>
      <c r="S115" s="15" t="s">
        <v>57</v>
      </c>
      <c r="T115" s="11"/>
      <c r="U115" s="33"/>
      <c r="V115" s="38"/>
      <c r="W115" s="346"/>
      <c r="X115" s="342"/>
      <c r="Y115" s="342"/>
      <c r="Z115" s="342"/>
      <c r="AA115" s="342"/>
      <c r="AB115" s="344"/>
      <c r="AC115" s="346"/>
      <c r="AD115" s="342"/>
      <c r="AE115" s="342"/>
      <c r="AF115" s="342"/>
      <c r="AG115" s="342"/>
      <c r="AH115" s="344"/>
      <c r="AI115" s="346">
        <v>7</v>
      </c>
      <c r="AJ115" s="342"/>
      <c r="AK115" s="344"/>
      <c r="AL115" s="337"/>
      <c r="AM115" s="54" t="s">
        <v>99</v>
      </c>
      <c r="AN115" s="57"/>
      <c r="AO115" s="54" t="s">
        <v>13</v>
      </c>
      <c r="AP115" s="60"/>
      <c r="AQ115" s="337"/>
      <c r="AR115" s="54" t="s">
        <v>99</v>
      </c>
      <c r="AS115" s="57"/>
      <c r="AT115" s="54" t="s">
        <v>13</v>
      </c>
      <c r="AU115" s="60"/>
    </row>
    <row r="116" spans="1:47" ht="16.5" customHeight="1">
      <c r="A116" s="329"/>
      <c r="B116" s="330"/>
      <c r="C116" s="15" t="s">
        <v>229</v>
      </c>
      <c r="D116" s="4"/>
      <c r="E116" s="15" t="s">
        <v>48</v>
      </c>
      <c r="F116" s="18"/>
      <c r="G116" s="331" t="s">
        <v>12</v>
      </c>
      <c r="H116" s="332"/>
      <c r="I116" s="332"/>
      <c r="J116" s="332"/>
      <c r="K116" s="15" t="s">
        <v>58</v>
      </c>
      <c r="L116" s="11"/>
      <c r="M116" s="33"/>
      <c r="N116" s="34"/>
      <c r="O116" s="15" t="s">
        <v>58</v>
      </c>
      <c r="P116" s="11"/>
      <c r="Q116" s="33"/>
      <c r="R116" s="34"/>
      <c r="S116" s="15" t="s">
        <v>58</v>
      </c>
      <c r="T116" s="11"/>
      <c r="U116" s="33"/>
      <c r="V116" s="38"/>
      <c r="W116" s="346"/>
      <c r="X116" s="342"/>
      <c r="Y116" s="342"/>
      <c r="Z116" s="342"/>
      <c r="AA116" s="342"/>
      <c r="AB116" s="344"/>
      <c r="AC116" s="346"/>
      <c r="AD116" s="342"/>
      <c r="AE116" s="342"/>
      <c r="AF116" s="342"/>
      <c r="AG116" s="342"/>
      <c r="AH116" s="344"/>
      <c r="AI116" s="346"/>
      <c r="AJ116" s="342"/>
      <c r="AK116" s="344"/>
      <c r="AL116" s="338"/>
      <c r="AM116" s="55" t="s">
        <v>100</v>
      </c>
      <c r="AN116" s="58"/>
      <c r="AO116" s="55" t="s">
        <v>101</v>
      </c>
      <c r="AP116" s="61"/>
      <c r="AQ116" s="338"/>
      <c r="AR116" s="55" t="s">
        <v>100</v>
      </c>
      <c r="AS116" s="58"/>
      <c r="AT116" s="55" t="s">
        <v>101</v>
      </c>
      <c r="AU116" s="61"/>
    </row>
    <row r="117" spans="1:47" ht="16.5" customHeight="1">
      <c r="A117" s="329"/>
      <c r="B117" s="330"/>
      <c r="C117" s="15" t="s">
        <v>38</v>
      </c>
      <c r="D117" s="19"/>
      <c r="E117" s="15" t="s">
        <v>49</v>
      </c>
      <c r="F117" s="18"/>
      <c r="G117" s="8" t="s">
        <v>13</v>
      </c>
      <c r="H117" s="180" t="s">
        <v>14</v>
      </c>
      <c r="I117" s="6" t="s">
        <v>15</v>
      </c>
      <c r="J117" s="6" t="s">
        <v>16</v>
      </c>
      <c r="K117" s="15" t="s">
        <v>59</v>
      </c>
      <c r="L117" s="11"/>
      <c r="M117" s="33"/>
      <c r="N117" s="34"/>
      <c r="O117" s="15" t="s">
        <v>59</v>
      </c>
      <c r="P117" s="11"/>
      <c r="Q117" s="33"/>
      <c r="R117" s="34"/>
      <c r="S117" s="15" t="s">
        <v>59</v>
      </c>
      <c r="T117" s="11"/>
      <c r="U117" s="33"/>
      <c r="V117" s="38"/>
      <c r="W117" s="346"/>
      <c r="X117" s="342"/>
      <c r="Y117" s="342"/>
      <c r="Z117" s="342"/>
      <c r="AA117" s="342"/>
      <c r="AB117" s="344"/>
      <c r="AC117" s="346"/>
      <c r="AD117" s="342"/>
      <c r="AE117" s="342"/>
      <c r="AF117" s="342"/>
      <c r="AG117" s="342"/>
      <c r="AH117" s="344"/>
      <c r="AI117" s="346"/>
      <c r="AJ117" s="342"/>
      <c r="AK117" s="344"/>
      <c r="AL117" s="336">
        <v>2</v>
      </c>
      <c r="AM117" s="53" t="s">
        <v>0</v>
      </c>
      <c r="AN117" s="339"/>
      <c r="AO117" s="340"/>
      <c r="AP117" s="341"/>
      <c r="AQ117" s="336">
        <v>4</v>
      </c>
      <c r="AR117" s="53" t="s">
        <v>0</v>
      </c>
      <c r="AS117" s="339"/>
      <c r="AT117" s="340"/>
      <c r="AU117" s="341"/>
    </row>
    <row r="118" spans="1:47" ht="16.5" customHeight="1">
      <c r="A118" s="329"/>
      <c r="B118" s="330"/>
      <c r="C118" s="15" t="s">
        <v>39</v>
      </c>
      <c r="D118" s="19"/>
      <c r="E118" s="15" t="s">
        <v>50</v>
      </c>
      <c r="F118" s="18"/>
      <c r="G118" s="154">
        <v>6</v>
      </c>
      <c r="H118" s="181"/>
      <c r="I118" s="10"/>
      <c r="J118" s="26"/>
      <c r="K118" s="15" t="s">
        <v>60</v>
      </c>
      <c r="L118" s="11"/>
      <c r="M118" s="33"/>
      <c r="N118" s="34"/>
      <c r="O118" s="15" t="s">
        <v>60</v>
      </c>
      <c r="P118" s="11"/>
      <c r="Q118" s="33"/>
      <c r="R118" s="34"/>
      <c r="S118" s="15" t="s">
        <v>60</v>
      </c>
      <c r="T118" s="11"/>
      <c r="U118" s="33"/>
      <c r="V118" s="38"/>
      <c r="W118" s="346"/>
      <c r="X118" s="342"/>
      <c r="Y118" s="342"/>
      <c r="Z118" s="342"/>
      <c r="AA118" s="342"/>
      <c r="AB118" s="344"/>
      <c r="AC118" s="346"/>
      <c r="AD118" s="342"/>
      <c r="AE118" s="342"/>
      <c r="AF118" s="342"/>
      <c r="AG118" s="342"/>
      <c r="AH118" s="344"/>
      <c r="AI118" s="346">
        <v>8</v>
      </c>
      <c r="AJ118" s="342"/>
      <c r="AK118" s="344"/>
      <c r="AL118" s="337"/>
      <c r="AM118" s="54" t="s">
        <v>97</v>
      </c>
      <c r="AN118" s="176"/>
      <c r="AO118" s="179" t="s">
        <v>212</v>
      </c>
      <c r="AP118" s="177"/>
      <c r="AQ118" s="337"/>
      <c r="AR118" s="54" t="s">
        <v>97</v>
      </c>
      <c r="AS118" s="176"/>
      <c r="AT118" s="179" t="s">
        <v>212</v>
      </c>
      <c r="AU118" s="177"/>
    </row>
    <row r="119" spans="1:47" ht="16.5" customHeight="1">
      <c r="A119" s="329"/>
      <c r="B119" s="330"/>
      <c r="C119" s="15" t="s">
        <v>40</v>
      </c>
      <c r="D119" s="19"/>
      <c r="E119" s="15" t="s">
        <v>51</v>
      </c>
      <c r="F119" s="18"/>
      <c r="G119" s="155">
        <v>7</v>
      </c>
      <c r="H119" s="182"/>
      <c r="I119" s="12"/>
      <c r="J119" s="27"/>
      <c r="K119" s="15" t="s">
        <v>61</v>
      </c>
      <c r="L119" s="11"/>
      <c r="M119" s="33"/>
      <c r="N119" s="34"/>
      <c r="O119" s="15" t="s">
        <v>61</v>
      </c>
      <c r="P119" s="11"/>
      <c r="Q119" s="33"/>
      <c r="R119" s="34"/>
      <c r="S119" s="15" t="s">
        <v>61</v>
      </c>
      <c r="T119" s="11"/>
      <c r="U119" s="33"/>
      <c r="V119" s="38"/>
      <c r="W119" s="346"/>
      <c r="X119" s="342"/>
      <c r="Y119" s="342"/>
      <c r="Z119" s="342"/>
      <c r="AA119" s="342"/>
      <c r="AB119" s="344"/>
      <c r="AC119" s="346"/>
      <c r="AD119" s="342"/>
      <c r="AE119" s="342"/>
      <c r="AF119" s="342"/>
      <c r="AG119" s="342"/>
      <c r="AH119" s="344"/>
      <c r="AI119" s="346"/>
      <c r="AJ119" s="342"/>
      <c r="AK119" s="344"/>
      <c r="AL119" s="337"/>
      <c r="AM119" s="54" t="s">
        <v>98</v>
      </c>
      <c r="AN119" s="56"/>
      <c r="AO119" s="54" t="s">
        <v>13</v>
      </c>
      <c r="AP119" s="59"/>
      <c r="AQ119" s="337"/>
      <c r="AR119" s="54" t="s">
        <v>98</v>
      </c>
      <c r="AS119" s="56"/>
      <c r="AT119" s="54" t="s">
        <v>13</v>
      </c>
      <c r="AU119" s="59"/>
    </row>
    <row r="120" spans="1:47" ht="16.5" customHeight="1">
      <c r="A120" s="329"/>
      <c r="B120" s="330"/>
      <c r="C120" s="15" t="s">
        <v>41</v>
      </c>
      <c r="D120" s="19"/>
      <c r="E120" s="15" t="s">
        <v>52</v>
      </c>
      <c r="F120" s="18"/>
      <c r="G120" s="155">
        <v>8</v>
      </c>
      <c r="H120" s="185"/>
      <c r="I120" s="25"/>
      <c r="J120" s="29"/>
      <c r="K120" s="15" t="s">
        <v>62</v>
      </c>
      <c r="L120" s="11"/>
      <c r="M120" s="33"/>
      <c r="N120" s="34"/>
      <c r="O120" s="15" t="s">
        <v>62</v>
      </c>
      <c r="P120" s="11"/>
      <c r="Q120" s="33"/>
      <c r="R120" s="34"/>
      <c r="S120" s="15" t="s">
        <v>62</v>
      </c>
      <c r="T120" s="11"/>
      <c r="U120" s="33"/>
      <c r="V120" s="38"/>
      <c r="W120" s="346"/>
      <c r="X120" s="342"/>
      <c r="Y120" s="342"/>
      <c r="Z120" s="342"/>
      <c r="AA120" s="342"/>
      <c r="AB120" s="344"/>
      <c r="AC120" s="346"/>
      <c r="AD120" s="342"/>
      <c r="AE120" s="342"/>
      <c r="AF120" s="342"/>
      <c r="AG120" s="342"/>
      <c r="AH120" s="344"/>
      <c r="AI120" s="356"/>
      <c r="AJ120" s="343"/>
      <c r="AK120" s="345"/>
      <c r="AL120" s="337"/>
      <c r="AM120" s="54" t="s">
        <v>99</v>
      </c>
      <c r="AN120" s="57"/>
      <c r="AO120" s="54" t="s">
        <v>13</v>
      </c>
      <c r="AP120" s="60"/>
      <c r="AQ120" s="337"/>
      <c r="AR120" s="54" t="s">
        <v>99</v>
      </c>
      <c r="AS120" s="57"/>
      <c r="AT120" s="54" t="s">
        <v>13</v>
      </c>
      <c r="AU120" s="60"/>
    </row>
    <row r="121" spans="1:47" ht="16.5" customHeight="1">
      <c r="A121" s="329"/>
      <c r="B121" s="330"/>
      <c r="C121" s="15" t="s">
        <v>42</v>
      </c>
      <c r="D121" s="19"/>
      <c r="E121" s="16" t="s">
        <v>53</v>
      </c>
      <c r="F121" s="22"/>
      <c r="G121" s="160"/>
      <c r="H121" s="186"/>
      <c r="I121" s="161"/>
      <c r="J121" s="161"/>
      <c r="K121" s="15" t="s">
        <v>63</v>
      </c>
      <c r="L121" s="11"/>
      <c r="M121" s="33"/>
      <c r="N121" s="34"/>
      <c r="O121" s="15" t="s">
        <v>63</v>
      </c>
      <c r="P121" s="11"/>
      <c r="Q121" s="33"/>
      <c r="R121" s="34"/>
      <c r="S121" s="15" t="s">
        <v>63</v>
      </c>
      <c r="T121" s="11"/>
      <c r="U121" s="33"/>
      <c r="V121" s="38"/>
      <c r="W121" s="356"/>
      <c r="X121" s="343"/>
      <c r="Y121" s="343"/>
      <c r="Z121" s="343"/>
      <c r="AA121" s="343"/>
      <c r="AB121" s="345"/>
      <c r="AC121" s="356"/>
      <c r="AD121" s="343"/>
      <c r="AE121" s="343"/>
      <c r="AF121" s="343"/>
      <c r="AG121" s="343"/>
      <c r="AH121" s="345"/>
      <c r="AI121" s="172"/>
      <c r="AJ121" s="173"/>
      <c r="AK121" s="174"/>
      <c r="AL121" s="338"/>
      <c r="AM121" s="55" t="s">
        <v>100</v>
      </c>
      <c r="AN121" s="58"/>
      <c r="AO121" s="55" t="s">
        <v>101</v>
      </c>
      <c r="AP121" s="61"/>
      <c r="AQ121" s="338"/>
      <c r="AR121" s="55" t="s">
        <v>100</v>
      </c>
      <c r="AS121" s="58"/>
      <c r="AT121" s="55" t="s">
        <v>101</v>
      </c>
      <c r="AU121" s="61"/>
    </row>
    <row r="122" spans="1:47" ht="16.5" customHeight="1">
      <c r="A122" s="329"/>
      <c r="B122" s="330"/>
      <c r="C122" s="16" t="s">
        <v>43</v>
      </c>
      <c r="D122" s="21"/>
      <c r="E122" s="189" t="s">
        <v>293</v>
      </c>
      <c r="F122" s="190" t="s">
        <v>186</v>
      </c>
      <c r="G122" s="162"/>
      <c r="H122" s="187"/>
      <c r="I122" s="163"/>
      <c r="J122" s="163"/>
      <c r="K122" s="30" t="s">
        <v>64</v>
      </c>
      <c r="L122" s="24"/>
      <c r="M122" s="35"/>
      <c r="N122" s="36"/>
      <c r="O122" s="30" t="s">
        <v>64</v>
      </c>
      <c r="P122" s="24"/>
      <c r="Q122" s="35"/>
      <c r="R122" s="36"/>
      <c r="S122" s="30" t="s">
        <v>64</v>
      </c>
      <c r="T122" s="24"/>
      <c r="U122" s="35"/>
      <c r="V122" s="39"/>
      <c r="W122" s="156"/>
      <c r="X122" s="157"/>
      <c r="Y122" s="165"/>
      <c r="Z122" s="165"/>
      <c r="AA122" s="166"/>
      <c r="AB122" s="167"/>
      <c r="AC122" s="168"/>
      <c r="AD122" s="169"/>
      <c r="AE122" s="170"/>
      <c r="AF122" s="170"/>
      <c r="AG122" s="170"/>
      <c r="AH122" s="171"/>
      <c r="AI122" s="168"/>
      <c r="AJ122" s="169"/>
      <c r="AK122" s="171"/>
      <c r="AL122" s="175"/>
      <c r="AM122" s="158"/>
      <c r="AN122" s="158"/>
      <c r="AO122" s="158"/>
      <c r="AP122" s="159"/>
      <c r="AQ122" s="175"/>
      <c r="AR122" s="158"/>
      <c r="AS122" s="158"/>
      <c r="AT122" s="158"/>
      <c r="AU122" s="159"/>
    </row>
    <row r="123" spans="1:47" ht="16.5" customHeight="1"/>
    <row r="124" spans="1:47" ht="16.5" customHeight="1">
      <c r="A124" s="329">
        <v>11</v>
      </c>
      <c r="B124" s="330" t="s">
        <v>259</v>
      </c>
      <c r="C124" s="14" t="s">
        <v>45</v>
      </c>
      <c r="D124" s="52"/>
      <c r="E124" s="14" t="s">
        <v>46</v>
      </c>
      <c r="F124" s="17"/>
      <c r="G124" s="149">
        <v>6</v>
      </c>
      <c r="H124" s="181"/>
      <c r="I124" s="10"/>
      <c r="J124" s="26"/>
      <c r="K124" s="14" t="s">
        <v>54</v>
      </c>
      <c r="L124" s="9"/>
      <c r="M124" s="31"/>
      <c r="N124" s="32"/>
      <c r="O124" s="14" t="s">
        <v>54</v>
      </c>
      <c r="P124" s="9"/>
      <c r="Q124" s="31"/>
      <c r="R124" s="32"/>
      <c r="S124" s="14" t="s">
        <v>54</v>
      </c>
      <c r="T124" s="9"/>
      <c r="U124" s="31"/>
      <c r="V124" s="37"/>
      <c r="W124" s="353"/>
      <c r="X124" s="354"/>
      <c r="Y124" s="354"/>
      <c r="Z124" s="354"/>
      <c r="AA124" s="354"/>
      <c r="AB124" s="355"/>
      <c r="AC124" s="353"/>
      <c r="AD124" s="354"/>
      <c r="AE124" s="354"/>
      <c r="AF124" s="354"/>
      <c r="AG124" s="354"/>
      <c r="AH124" s="355"/>
      <c r="AI124" s="353">
        <v>6</v>
      </c>
      <c r="AJ124" s="354"/>
      <c r="AK124" s="355"/>
      <c r="AL124" s="336">
        <v>1</v>
      </c>
      <c r="AM124" s="53" t="s">
        <v>0</v>
      </c>
      <c r="AN124" s="339"/>
      <c r="AO124" s="340"/>
      <c r="AP124" s="341"/>
      <c r="AQ124" s="336">
        <v>3</v>
      </c>
      <c r="AR124" s="53" t="s">
        <v>0</v>
      </c>
      <c r="AS124" s="339"/>
      <c r="AT124" s="340"/>
      <c r="AU124" s="341"/>
    </row>
    <row r="125" spans="1:47" ht="16.5" customHeight="1">
      <c r="A125" s="329"/>
      <c r="B125" s="330"/>
      <c r="C125" s="15" t="s">
        <v>36</v>
      </c>
      <c r="D125" s="19"/>
      <c r="E125" s="15" t="s">
        <v>73</v>
      </c>
      <c r="F125" s="18"/>
      <c r="G125" s="150">
        <v>7</v>
      </c>
      <c r="H125" s="182"/>
      <c r="I125" s="12"/>
      <c r="J125" s="27"/>
      <c r="K125" s="15" t="s">
        <v>55</v>
      </c>
      <c r="L125" s="11"/>
      <c r="M125" s="33"/>
      <c r="N125" s="34"/>
      <c r="O125" s="15" t="s">
        <v>55</v>
      </c>
      <c r="P125" s="11"/>
      <c r="Q125" s="33"/>
      <c r="R125" s="34"/>
      <c r="S125" s="15" t="s">
        <v>55</v>
      </c>
      <c r="T125" s="11"/>
      <c r="U125" s="33"/>
      <c r="V125" s="38"/>
      <c r="W125" s="346"/>
      <c r="X125" s="342"/>
      <c r="Y125" s="342"/>
      <c r="Z125" s="342"/>
      <c r="AA125" s="342"/>
      <c r="AB125" s="344"/>
      <c r="AC125" s="346"/>
      <c r="AD125" s="342"/>
      <c r="AE125" s="342"/>
      <c r="AF125" s="342"/>
      <c r="AG125" s="342"/>
      <c r="AH125" s="344"/>
      <c r="AI125" s="346"/>
      <c r="AJ125" s="342"/>
      <c r="AK125" s="344"/>
      <c r="AL125" s="337"/>
      <c r="AM125" s="54" t="s">
        <v>97</v>
      </c>
      <c r="AN125" s="176"/>
      <c r="AO125" s="54" t="s">
        <v>212</v>
      </c>
      <c r="AP125" s="178"/>
      <c r="AQ125" s="337"/>
      <c r="AR125" s="54" t="s">
        <v>97</v>
      </c>
      <c r="AS125" s="176"/>
      <c r="AT125" s="179" t="s">
        <v>212</v>
      </c>
      <c r="AU125" s="177"/>
    </row>
    <row r="126" spans="1:47" ht="16.5" customHeight="1">
      <c r="A126" s="329"/>
      <c r="B126" s="330"/>
      <c r="C126" s="15" t="s">
        <v>37</v>
      </c>
      <c r="D126" s="20"/>
      <c r="E126" s="15" t="s">
        <v>47</v>
      </c>
      <c r="F126" s="18"/>
      <c r="G126" s="150">
        <v>8</v>
      </c>
      <c r="H126" s="183"/>
      <c r="I126" s="13"/>
      <c r="J126" s="28"/>
      <c r="K126" s="15" t="s">
        <v>56</v>
      </c>
      <c r="L126" s="11"/>
      <c r="M126" s="33"/>
      <c r="N126" s="34"/>
      <c r="O126" s="15" t="s">
        <v>56</v>
      </c>
      <c r="P126" s="11"/>
      <c r="Q126" s="33"/>
      <c r="R126" s="34"/>
      <c r="S126" s="15" t="s">
        <v>56</v>
      </c>
      <c r="T126" s="11"/>
      <c r="U126" s="33"/>
      <c r="V126" s="38"/>
      <c r="W126" s="346"/>
      <c r="X126" s="342"/>
      <c r="Y126" s="342"/>
      <c r="Z126" s="342"/>
      <c r="AA126" s="342"/>
      <c r="AB126" s="344"/>
      <c r="AC126" s="346"/>
      <c r="AD126" s="342"/>
      <c r="AE126" s="342"/>
      <c r="AF126" s="342"/>
      <c r="AG126" s="342"/>
      <c r="AH126" s="344"/>
      <c r="AI126" s="346"/>
      <c r="AJ126" s="342"/>
      <c r="AK126" s="344"/>
      <c r="AL126" s="337"/>
      <c r="AM126" s="54" t="s">
        <v>98</v>
      </c>
      <c r="AN126" s="56"/>
      <c r="AO126" s="54" t="s">
        <v>13</v>
      </c>
      <c r="AP126" s="59"/>
      <c r="AQ126" s="337"/>
      <c r="AR126" s="54" t="s">
        <v>98</v>
      </c>
      <c r="AS126" s="56"/>
      <c r="AT126" s="54" t="s">
        <v>13</v>
      </c>
      <c r="AU126" s="59"/>
    </row>
    <row r="127" spans="1:47" ht="16.5" customHeight="1">
      <c r="A127" s="329"/>
      <c r="B127" s="330"/>
      <c r="C127" s="15" t="s">
        <v>44</v>
      </c>
      <c r="D127" s="19"/>
      <c r="E127" s="15" t="s">
        <v>65</v>
      </c>
      <c r="F127" s="18"/>
      <c r="G127" s="153"/>
      <c r="H127" s="184"/>
      <c r="I127" s="23"/>
      <c r="J127" s="23"/>
      <c r="K127" s="15" t="s">
        <v>57</v>
      </c>
      <c r="L127" s="11"/>
      <c r="M127" s="33"/>
      <c r="N127" s="34"/>
      <c r="O127" s="15" t="s">
        <v>57</v>
      </c>
      <c r="P127" s="11"/>
      <c r="Q127" s="33"/>
      <c r="R127" s="34"/>
      <c r="S127" s="15" t="s">
        <v>57</v>
      </c>
      <c r="T127" s="11"/>
      <c r="U127" s="33"/>
      <c r="V127" s="38"/>
      <c r="W127" s="346"/>
      <c r="X127" s="342"/>
      <c r="Y127" s="342"/>
      <c r="Z127" s="342"/>
      <c r="AA127" s="342"/>
      <c r="AB127" s="344"/>
      <c r="AC127" s="346"/>
      <c r="AD127" s="342"/>
      <c r="AE127" s="342"/>
      <c r="AF127" s="342"/>
      <c r="AG127" s="342"/>
      <c r="AH127" s="344"/>
      <c r="AI127" s="346">
        <v>7</v>
      </c>
      <c r="AJ127" s="342"/>
      <c r="AK127" s="344"/>
      <c r="AL127" s="337"/>
      <c r="AM127" s="54" t="s">
        <v>99</v>
      </c>
      <c r="AN127" s="57"/>
      <c r="AO127" s="54" t="s">
        <v>13</v>
      </c>
      <c r="AP127" s="60"/>
      <c r="AQ127" s="337"/>
      <c r="AR127" s="54" t="s">
        <v>99</v>
      </c>
      <c r="AS127" s="57"/>
      <c r="AT127" s="54" t="s">
        <v>13</v>
      </c>
      <c r="AU127" s="60"/>
    </row>
    <row r="128" spans="1:47" ht="16.5" customHeight="1">
      <c r="A128" s="329"/>
      <c r="B128" s="330"/>
      <c r="C128" s="15" t="s">
        <v>229</v>
      </c>
      <c r="D128" s="4"/>
      <c r="E128" s="15" t="s">
        <v>48</v>
      </c>
      <c r="F128" s="18"/>
      <c r="G128" s="331" t="s">
        <v>12</v>
      </c>
      <c r="H128" s="332"/>
      <c r="I128" s="332"/>
      <c r="J128" s="332"/>
      <c r="K128" s="15" t="s">
        <v>58</v>
      </c>
      <c r="L128" s="11"/>
      <c r="M128" s="33"/>
      <c r="N128" s="34"/>
      <c r="O128" s="15" t="s">
        <v>58</v>
      </c>
      <c r="P128" s="11"/>
      <c r="Q128" s="33"/>
      <c r="R128" s="34"/>
      <c r="S128" s="15" t="s">
        <v>58</v>
      </c>
      <c r="T128" s="11"/>
      <c r="U128" s="33"/>
      <c r="V128" s="38"/>
      <c r="W128" s="346"/>
      <c r="X128" s="342"/>
      <c r="Y128" s="342"/>
      <c r="Z128" s="342"/>
      <c r="AA128" s="342"/>
      <c r="AB128" s="344"/>
      <c r="AC128" s="346"/>
      <c r="AD128" s="342"/>
      <c r="AE128" s="342"/>
      <c r="AF128" s="342"/>
      <c r="AG128" s="342"/>
      <c r="AH128" s="344"/>
      <c r="AI128" s="346"/>
      <c r="AJ128" s="342"/>
      <c r="AK128" s="344"/>
      <c r="AL128" s="338"/>
      <c r="AM128" s="55" t="s">
        <v>100</v>
      </c>
      <c r="AN128" s="58"/>
      <c r="AO128" s="55" t="s">
        <v>101</v>
      </c>
      <c r="AP128" s="61"/>
      <c r="AQ128" s="338"/>
      <c r="AR128" s="55" t="s">
        <v>100</v>
      </c>
      <c r="AS128" s="58"/>
      <c r="AT128" s="55" t="s">
        <v>101</v>
      </c>
      <c r="AU128" s="61"/>
    </row>
    <row r="129" spans="1:47" ht="16.5" customHeight="1">
      <c r="A129" s="329"/>
      <c r="B129" s="330"/>
      <c r="C129" s="15" t="s">
        <v>38</v>
      </c>
      <c r="D129" s="19"/>
      <c r="E129" s="15" t="s">
        <v>49</v>
      </c>
      <c r="F129" s="18"/>
      <c r="G129" s="8" t="s">
        <v>13</v>
      </c>
      <c r="H129" s="180" t="s">
        <v>14</v>
      </c>
      <c r="I129" s="6" t="s">
        <v>15</v>
      </c>
      <c r="J129" s="6" t="s">
        <v>16</v>
      </c>
      <c r="K129" s="15" t="s">
        <v>59</v>
      </c>
      <c r="L129" s="11"/>
      <c r="M129" s="33"/>
      <c r="N129" s="34"/>
      <c r="O129" s="15" t="s">
        <v>59</v>
      </c>
      <c r="P129" s="11"/>
      <c r="Q129" s="33"/>
      <c r="R129" s="34"/>
      <c r="S129" s="15" t="s">
        <v>59</v>
      </c>
      <c r="T129" s="11"/>
      <c r="U129" s="33"/>
      <c r="V129" s="38"/>
      <c r="W129" s="346"/>
      <c r="X129" s="342"/>
      <c r="Y129" s="342"/>
      <c r="Z129" s="342"/>
      <c r="AA129" s="342"/>
      <c r="AB129" s="344"/>
      <c r="AC129" s="346"/>
      <c r="AD129" s="342"/>
      <c r="AE129" s="342"/>
      <c r="AF129" s="342"/>
      <c r="AG129" s="342"/>
      <c r="AH129" s="344"/>
      <c r="AI129" s="346"/>
      <c r="AJ129" s="342"/>
      <c r="AK129" s="344"/>
      <c r="AL129" s="336">
        <v>2</v>
      </c>
      <c r="AM129" s="53" t="s">
        <v>0</v>
      </c>
      <c r="AN129" s="339"/>
      <c r="AO129" s="340"/>
      <c r="AP129" s="341"/>
      <c r="AQ129" s="336">
        <v>4</v>
      </c>
      <c r="AR129" s="53" t="s">
        <v>0</v>
      </c>
      <c r="AS129" s="339"/>
      <c r="AT129" s="340"/>
      <c r="AU129" s="341"/>
    </row>
    <row r="130" spans="1:47" ht="16.5" customHeight="1">
      <c r="A130" s="329"/>
      <c r="B130" s="330"/>
      <c r="C130" s="15" t="s">
        <v>39</v>
      </c>
      <c r="D130" s="19"/>
      <c r="E130" s="15" t="s">
        <v>50</v>
      </c>
      <c r="F130" s="18"/>
      <c r="G130" s="154">
        <v>6</v>
      </c>
      <c r="H130" s="181"/>
      <c r="I130" s="10"/>
      <c r="J130" s="26"/>
      <c r="K130" s="15" t="s">
        <v>60</v>
      </c>
      <c r="L130" s="11"/>
      <c r="M130" s="33"/>
      <c r="N130" s="34"/>
      <c r="O130" s="15" t="s">
        <v>60</v>
      </c>
      <c r="P130" s="11"/>
      <c r="Q130" s="33"/>
      <c r="R130" s="34"/>
      <c r="S130" s="15" t="s">
        <v>60</v>
      </c>
      <c r="T130" s="11"/>
      <c r="U130" s="33"/>
      <c r="V130" s="38"/>
      <c r="W130" s="346"/>
      <c r="X130" s="342"/>
      <c r="Y130" s="342"/>
      <c r="Z130" s="342"/>
      <c r="AA130" s="342"/>
      <c r="AB130" s="344"/>
      <c r="AC130" s="346"/>
      <c r="AD130" s="342"/>
      <c r="AE130" s="342"/>
      <c r="AF130" s="342"/>
      <c r="AG130" s="342"/>
      <c r="AH130" s="344"/>
      <c r="AI130" s="346">
        <v>8</v>
      </c>
      <c r="AJ130" s="342"/>
      <c r="AK130" s="344"/>
      <c r="AL130" s="337"/>
      <c r="AM130" s="54" t="s">
        <v>97</v>
      </c>
      <c r="AN130" s="176"/>
      <c r="AO130" s="179" t="s">
        <v>212</v>
      </c>
      <c r="AP130" s="177"/>
      <c r="AQ130" s="337"/>
      <c r="AR130" s="54" t="s">
        <v>97</v>
      </c>
      <c r="AS130" s="176"/>
      <c r="AT130" s="179" t="s">
        <v>212</v>
      </c>
      <c r="AU130" s="177"/>
    </row>
    <row r="131" spans="1:47" ht="16.5" customHeight="1">
      <c r="A131" s="329"/>
      <c r="B131" s="330"/>
      <c r="C131" s="15" t="s">
        <v>40</v>
      </c>
      <c r="D131" s="19"/>
      <c r="E131" s="15" t="s">
        <v>51</v>
      </c>
      <c r="F131" s="18"/>
      <c r="G131" s="155">
        <v>7</v>
      </c>
      <c r="H131" s="182"/>
      <c r="I131" s="12"/>
      <c r="J131" s="27"/>
      <c r="K131" s="15" t="s">
        <v>61</v>
      </c>
      <c r="L131" s="11"/>
      <c r="M131" s="33"/>
      <c r="N131" s="34"/>
      <c r="O131" s="15" t="s">
        <v>61</v>
      </c>
      <c r="P131" s="11"/>
      <c r="Q131" s="33"/>
      <c r="R131" s="34"/>
      <c r="S131" s="15" t="s">
        <v>61</v>
      </c>
      <c r="T131" s="11"/>
      <c r="U131" s="33"/>
      <c r="V131" s="38"/>
      <c r="W131" s="346"/>
      <c r="X131" s="342"/>
      <c r="Y131" s="342"/>
      <c r="Z131" s="342"/>
      <c r="AA131" s="342"/>
      <c r="AB131" s="344"/>
      <c r="AC131" s="346"/>
      <c r="AD131" s="342"/>
      <c r="AE131" s="342"/>
      <c r="AF131" s="342"/>
      <c r="AG131" s="342"/>
      <c r="AH131" s="344"/>
      <c r="AI131" s="346"/>
      <c r="AJ131" s="342"/>
      <c r="AK131" s="344"/>
      <c r="AL131" s="337"/>
      <c r="AM131" s="54" t="s">
        <v>98</v>
      </c>
      <c r="AN131" s="56"/>
      <c r="AO131" s="54" t="s">
        <v>13</v>
      </c>
      <c r="AP131" s="59"/>
      <c r="AQ131" s="337"/>
      <c r="AR131" s="54" t="s">
        <v>98</v>
      </c>
      <c r="AS131" s="56"/>
      <c r="AT131" s="54" t="s">
        <v>13</v>
      </c>
      <c r="AU131" s="59"/>
    </row>
    <row r="132" spans="1:47" ht="16.5" customHeight="1">
      <c r="A132" s="329"/>
      <c r="B132" s="330"/>
      <c r="C132" s="15" t="s">
        <v>41</v>
      </c>
      <c r="D132" s="19"/>
      <c r="E132" s="15" t="s">
        <v>52</v>
      </c>
      <c r="F132" s="18"/>
      <c r="G132" s="155">
        <v>8</v>
      </c>
      <c r="H132" s="185"/>
      <c r="I132" s="25"/>
      <c r="J132" s="29"/>
      <c r="K132" s="15" t="s">
        <v>62</v>
      </c>
      <c r="L132" s="11"/>
      <c r="M132" s="33"/>
      <c r="N132" s="34"/>
      <c r="O132" s="15" t="s">
        <v>62</v>
      </c>
      <c r="P132" s="11"/>
      <c r="Q132" s="33"/>
      <c r="R132" s="34"/>
      <c r="S132" s="15" t="s">
        <v>62</v>
      </c>
      <c r="T132" s="11"/>
      <c r="U132" s="33"/>
      <c r="V132" s="38"/>
      <c r="W132" s="346"/>
      <c r="X132" s="342"/>
      <c r="Y132" s="342"/>
      <c r="Z132" s="342"/>
      <c r="AA132" s="342"/>
      <c r="AB132" s="344"/>
      <c r="AC132" s="346"/>
      <c r="AD132" s="342"/>
      <c r="AE132" s="342"/>
      <c r="AF132" s="342"/>
      <c r="AG132" s="342"/>
      <c r="AH132" s="344"/>
      <c r="AI132" s="356"/>
      <c r="AJ132" s="343"/>
      <c r="AK132" s="345"/>
      <c r="AL132" s="337"/>
      <c r="AM132" s="54" t="s">
        <v>99</v>
      </c>
      <c r="AN132" s="57"/>
      <c r="AO132" s="54" t="s">
        <v>13</v>
      </c>
      <c r="AP132" s="60"/>
      <c r="AQ132" s="337"/>
      <c r="AR132" s="54" t="s">
        <v>99</v>
      </c>
      <c r="AS132" s="57"/>
      <c r="AT132" s="54" t="s">
        <v>13</v>
      </c>
      <c r="AU132" s="60"/>
    </row>
    <row r="133" spans="1:47" ht="16.5" customHeight="1">
      <c r="A133" s="329"/>
      <c r="B133" s="330"/>
      <c r="C133" s="15" t="s">
        <v>42</v>
      </c>
      <c r="D133" s="19"/>
      <c r="E133" s="16" t="s">
        <v>53</v>
      </c>
      <c r="F133" s="22"/>
      <c r="G133" s="160"/>
      <c r="H133" s="186"/>
      <c r="I133" s="161"/>
      <c r="J133" s="161"/>
      <c r="K133" s="15" t="s">
        <v>63</v>
      </c>
      <c r="L133" s="11"/>
      <c r="M133" s="33"/>
      <c r="N133" s="34"/>
      <c r="O133" s="15" t="s">
        <v>63</v>
      </c>
      <c r="P133" s="11"/>
      <c r="Q133" s="33"/>
      <c r="R133" s="34"/>
      <c r="S133" s="15" t="s">
        <v>63</v>
      </c>
      <c r="T133" s="11"/>
      <c r="U133" s="33"/>
      <c r="V133" s="38"/>
      <c r="W133" s="356"/>
      <c r="X133" s="343"/>
      <c r="Y133" s="343"/>
      <c r="Z133" s="343"/>
      <c r="AA133" s="343"/>
      <c r="AB133" s="345"/>
      <c r="AC133" s="356"/>
      <c r="AD133" s="343"/>
      <c r="AE133" s="343"/>
      <c r="AF133" s="343"/>
      <c r="AG133" s="343"/>
      <c r="AH133" s="345"/>
      <c r="AI133" s="172"/>
      <c r="AJ133" s="173"/>
      <c r="AK133" s="174"/>
      <c r="AL133" s="338"/>
      <c r="AM133" s="55" t="s">
        <v>100</v>
      </c>
      <c r="AN133" s="58"/>
      <c r="AO133" s="55" t="s">
        <v>101</v>
      </c>
      <c r="AP133" s="61"/>
      <c r="AQ133" s="338"/>
      <c r="AR133" s="55" t="s">
        <v>100</v>
      </c>
      <c r="AS133" s="58"/>
      <c r="AT133" s="55" t="s">
        <v>101</v>
      </c>
      <c r="AU133" s="61"/>
    </row>
    <row r="134" spans="1:47" ht="16.5" customHeight="1">
      <c r="A134" s="329"/>
      <c r="B134" s="330"/>
      <c r="C134" s="16" t="s">
        <v>43</v>
      </c>
      <c r="D134" s="21"/>
      <c r="E134" s="189" t="s">
        <v>293</v>
      </c>
      <c r="F134" s="190" t="s">
        <v>186</v>
      </c>
      <c r="G134" s="162"/>
      <c r="H134" s="187"/>
      <c r="I134" s="163"/>
      <c r="J134" s="163"/>
      <c r="K134" s="30" t="s">
        <v>64</v>
      </c>
      <c r="L134" s="24"/>
      <c r="M134" s="35"/>
      <c r="N134" s="36"/>
      <c r="O134" s="30" t="s">
        <v>64</v>
      </c>
      <c r="P134" s="24"/>
      <c r="Q134" s="35"/>
      <c r="R134" s="36"/>
      <c r="S134" s="30" t="s">
        <v>64</v>
      </c>
      <c r="T134" s="24"/>
      <c r="U134" s="35"/>
      <c r="V134" s="39"/>
      <c r="W134" s="156"/>
      <c r="X134" s="157"/>
      <c r="Y134" s="165"/>
      <c r="Z134" s="165"/>
      <c r="AA134" s="166"/>
      <c r="AB134" s="167"/>
      <c r="AC134" s="168"/>
      <c r="AD134" s="169"/>
      <c r="AE134" s="170"/>
      <c r="AF134" s="170"/>
      <c r="AG134" s="170"/>
      <c r="AH134" s="171"/>
      <c r="AI134" s="168"/>
      <c r="AJ134" s="169"/>
      <c r="AK134" s="171"/>
      <c r="AL134" s="175"/>
      <c r="AM134" s="158"/>
      <c r="AN134" s="158"/>
      <c r="AO134" s="158"/>
      <c r="AP134" s="159"/>
      <c r="AQ134" s="175"/>
      <c r="AR134" s="158"/>
      <c r="AS134" s="158"/>
      <c r="AT134" s="158"/>
      <c r="AU134" s="159"/>
    </row>
    <row r="135" spans="1:47" ht="16.5" customHeight="1"/>
    <row r="136" spans="1:47" ht="16.5" customHeight="1">
      <c r="A136" s="329">
        <v>12</v>
      </c>
      <c r="B136" s="330" t="s">
        <v>260</v>
      </c>
      <c r="C136" s="14" t="s">
        <v>45</v>
      </c>
      <c r="D136" s="52">
        <v>1777</v>
      </c>
      <c r="E136" s="14" t="s">
        <v>46</v>
      </c>
      <c r="F136" s="17"/>
      <c r="G136" s="149">
        <v>6</v>
      </c>
      <c r="H136" s="181"/>
      <c r="I136" s="10"/>
      <c r="J136" s="26"/>
      <c r="K136" s="14" t="s">
        <v>54</v>
      </c>
      <c r="L136" s="9"/>
      <c r="M136" s="31"/>
      <c r="N136" s="32"/>
      <c r="O136" s="14" t="s">
        <v>54</v>
      </c>
      <c r="P136" s="9"/>
      <c r="Q136" s="31"/>
      <c r="R136" s="32"/>
      <c r="S136" s="14" t="s">
        <v>54</v>
      </c>
      <c r="T136" s="9"/>
      <c r="U136" s="31"/>
      <c r="V136" s="37"/>
      <c r="W136" s="353"/>
      <c r="X136" s="354"/>
      <c r="Y136" s="354"/>
      <c r="Z136" s="354"/>
      <c r="AA136" s="354"/>
      <c r="AB136" s="355"/>
      <c r="AC136" s="353"/>
      <c r="AD136" s="354"/>
      <c r="AE136" s="354"/>
      <c r="AF136" s="354"/>
      <c r="AG136" s="354"/>
      <c r="AH136" s="355"/>
      <c r="AI136" s="353">
        <v>6</v>
      </c>
      <c r="AJ136" s="354"/>
      <c r="AK136" s="355"/>
      <c r="AL136" s="336">
        <v>1</v>
      </c>
      <c r="AM136" s="53" t="s">
        <v>0</v>
      </c>
      <c r="AN136" s="339"/>
      <c r="AO136" s="340"/>
      <c r="AP136" s="341"/>
      <c r="AQ136" s="336">
        <v>3</v>
      </c>
      <c r="AR136" s="53" t="s">
        <v>0</v>
      </c>
      <c r="AS136" s="339"/>
      <c r="AT136" s="340"/>
      <c r="AU136" s="341"/>
    </row>
    <row r="137" spans="1:47" ht="16.5" customHeight="1">
      <c r="A137" s="329"/>
      <c r="B137" s="330"/>
      <c r="C137" s="15" t="s">
        <v>36</v>
      </c>
      <c r="D137" s="19"/>
      <c r="E137" s="15" t="s">
        <v>73</v>
      </c>
      <c r="F137" s="18"/>
      <c r="G137" s="150">
        <v>7</v>
      </c>
      <c r="H137" s="182"/>
      <c r="I137" s="12"/>
      <c r="J137" s="27"/>
      <c r="K137" s="15" t="s">
        <v>55</v>
      </c>
      <c r="L137" s="11"/>
      <c r="M137" s="33"/>
      <c r="N137" s="34"/>
      <c r="O137" s="15" t="s">
        <v>55</v>
      </c>
      <c r="P137" s="11"/>
      <c r="Q137" s="33"/>
      <c r="R137" s="34"/>
      <c r="S137" s="15" t="s">
        <v>55</v>
      </c>
      <c r="T137" s="11"/>
      <c r="U137" s="33"/>
      <c r="V137" s="38"/>
      <c r="W137" s="346"/>
      <c r="X137" s="342"/>
      <c r="Y137" s="342"/>
      <c r="Z137" s="342"/>
      <c r="AA137" s="342"/>
      <c r="AB137" s="344"/>
      <c r="AC137" s="346"/>
      <c r="AD137" s="342"/>
      <c r="AE137" s="342"/>
      <c r="AF137" s="342"/>
      <c r="AG137" s="342"/>
      <c r="AH137" s="344"/>
      <c r="AI137" s="346"/>
      <c r="AJ137" s="342"/>
      <c r="AK137" s="344"/>
      <c r="AL137" s="337"/>
      <c r="AM137" s="54" t="s">
        <v>97</v>
      </c>
      <c r="AN137" s="176"/>
      <c r="AO137" s="54" t="s">
        <v>212</v>
      </c>
      <c r="AP137" s="178"/>
      <c r="AQ137" s="337"/>
      <c r="AR137" s="54" t="s">
        <v>97</v>
      </c>
      <c r="AS137" s="176"/>
      <c r="AT137" s="179" t="s">
        <v>212</v>
      </c>
      <c r="AU137" s="177"/>
    </row>
    <row r="138" spans="1:47" ht="16.5" customHeight="1">
      <c r="A138" s="329"/>
      <c r="B138" s="330"/>
      <c r="C138" s="15" t="s">
        <v>37</v>
      </c>
      <c r="D138" s="20"/>
      <c r="E138" s="15" t="s">
        <v>47</v>
      </c>
      <c r="F138" s="18"/>
      <c r="G138" s="150">
        <v>8</v>
      </c>
      <c r="H138" s="183"/>
      <c r="I138" s="13"/>
      <c r="J138" s="28"/>
      <c r="K138" s="15" t="s">
        <v>56</v>
      </c>
      <c r="L138" s="11"/>
      <c r="M138" s="33"/>
      <c r="N138" s="34"/>
      <c r="O138" s="15" t="s">
        <v>56</v>
      </c>
      <c r="P138" s="11"/>
      <c r="Q138" s="33"/>
      <c r="R138" s="34"/>
      <c r="S138" s="15" t="s">
        <v>56</v>
      </c>
      <c r="T138" s="11"/>
      <c r="U138" s="33"/>
      <c r="V138" s="38"/>
      <c r="W138" s="346"/>
      <c r="X138" s="342"/>
      <c r="Y138" s="342"/>
      <c r="Z138" s="342"/>
      <c r="AA138" s="342"/>
      <c r="AB138" s="344"/>
      <c r="AC138" s="346"/>
      <c r="AD138" s="342"/>
      <c r="AE138" s="342"/>
      <c r="AF138" s="342"/>
      <c r="AG138" s="342"/>
      <c r="AH138" s="344"/>
      <c r="AI138" s="346"/>
      <c r="AJ138" s="342"/>
      <c r="AK138" s="344"/>
      <c r="AL138" s="337"/>
      <c r="AM138" s="54" t="s">
        <v>98</v>
      </c>
      <c r="AN138" s="56"/>
      <c r="AO138" s="54" t="s">
        <v>13</v>
      </c>
      <c r="AP138" s="59"/>
      <c r="AQ138" s="337"/>
      <c r="AR138" s="54" t="s">
        <v>98</v>
      </c>
      <c r="AS138" s="56"/>
      <c r="AT138" s="54" t="s">
        <v>13</v>
      </c>
      <c r="AU138" s="59"/>
    </row>
    <row r="139" spans="1:47" ht="16.5" customHeight="1">
      <c r="A139" s="329"/>
      <c r="B139" s="330"/>
      <c r="C139" s="15" t="s">
        <v>44</v>
      </c>
      <c r="D139" s="19"/>
      <c r="E139" s="15" t="s">
        <v>65</v>
      </c>
      <c r="F139" s="18"/>
      <c r="G139" s="153"/>
      <c r="H139" s="184"/>
      <c r="I139" s="23"/>
      <c r="J139" s="23"/>
      <c r="K139" s="15" t="s">
        <v>57</v>
      </c>
      <c r="L139" s="11"/>
      <c r="M139" s="33"/>
      <c r="N139" s="34"/>
      <c r="O139" s="15" t="s">
        <v>57</v>
      </c>
      <c r="P139" s="11"/>
      <c r="Q139" s="33"/>
      <c r="R139" s="34"/>
      <c r="S139" s="15" t="s">
        <v>57</v>
      </c>
      <c r="T139" s="11"/>
      <c r="U139" s="33"/>
      <c r="V139" s="38"/>
      <c r="W139" s="346"/>
      <c r="X139" s="342"/>
      <c r="Y139" s="342"/>
      <c r="Z139" s="342"/>
      <c r="AA139" s="342"/>
      <c r="AB139" s="344"/>
      <c r="AC139" s="346"/>
      <c r="AD139" s="342"/>
      <c r="AE139" s="342"/>
      <c r="AF139" s="342"/>
      <c r="AG139" s="342"/>
      <c r="AH139" s="344"/>
      <c r="AI139" s="346">
        <v>7</v>
      </c>
      <c r="AJ139" s="342"/>
      <c r="AK139" s="344"/>
      <c r="AL139" s="337"/>
      <c r="AM139" s="54" t="s">
        <v>99</v>
      </c>
      <c r="AN139" s="57"/>
      <c r="AO139" s="54" t="s">
        <v>13</v>
      </c>
      <c r="AP139" s="60"/>
      <c r="AQ139" s="337"/>
      <c r="AR139" s="54" t="s">
        <v>99</v>
      </c>
      <c r="AS139" s="57"/>
      <c r="AT139" s="54" t="s">
        <v>13</v>
      </c>
      <c r="AU139" s="60"/>
    </row>
    <row r="140" spans="1:47" ht="16.5" customHeight="1">
      <c r="A140" s="329"/>
      <c r="B140" s="330"/>
      <c r="C140" s="15" t="s">
        <v>229</v>
      </c>
      <c r="D140" s="4"/>
      <c r="E140" s="15" t="s">
        <v>48</v>
      </c>
      <c r="F140" s="18"/>
      <c r="G140" s="331" t="s">
        <v>12</v>
      </c>
      <c r="H140" s="332"/>
      <c r="I140" s="332"/>
      <c r="J140" s="332"/>
      <c r="K140" s="15" t="s">
        <v>58</v>
      </c>
      <c r="L140" s="11"/>
      <c r="M140" s="33"/>
      <c r="N140" s="34"/>
      <c r="O140" s="15" t="s">
        <v>58</v>
      </c>
      <c r="P140" s="11"/>
      <c r="Q140" s="33"/>
      <c r="R140" s="34"/>
      <c r="S140" s="15" t="s">
        <v>58</v>
      </c>
      <c r="T140" s="11"/>
      <c r="U140" s="33"/>
      <c r="V140" s="38"/>
      <c r="W140" s="346"/>
      <c r="X140" s="342"/>
      <c r="Y140" s="342"/>
      <c r="Z140" s="342"/>
      <c r="AA140" s="342"/>
      <c r="AB140" s="344"/>
      <c r="AC140" s="346"/>
      <c r="AD140" s="342"/>
      <c r="AE140" s="342"/>
      <c r="AF140" s="342"/>
      <c r="AG140" s="342"/>
      <c r="AH140" s="344"/>
      <c r="AI140" s="346"/>
      <c r="AJ140" s="342"/>
      <c r="AK140" s="344"/>
      <c r="AL140" s="338"/>
      <c r="AM140" s="55" t="s">
        <v>100</v>
      </c>
      <c r="AN140" s="58"/>
      <c r="AO140" s="55" t="s">
        <v>101</v>
      </c>
      <c r="AP140" s="61"/>
      <c r="AQ140" s="338"/>
      <c r="AR140" s="55" t="s">
        <v>100</v>
      </c>
      <c r="AS140" s="58"/>
      <c r="AT140" s="55" t="s">
        <v>101</v>
      </c>
      <c r="AU140" s="61"/>
    </row>
    <row r="141" spans="1:47" ht="16.5" customHeight="1">
      <c r="A141" s="329"/>
      <c r="B141" s="330"/>
      <c r="C141" s="15" t="s">
        <v>38</v>
      </c>
      <c r="D141" s="19"/>
      <c r="E141" s="15" t="s">
        <v>49</v>
      </c>
      <c r="F141" s="18"/>
      <c r="G141" s="8" t="s">
        <v>13</v>
      </c>
      <c r="H141" s="180" t="s">
        <v>14</v>
      </c>
      <c r="I141" s="6" t="s">
        <v>15</v>
      </c>
      <c r="J141" s="6" t="s">
        <v>16</v>
      </c>
      <c r="K141" s="15" t="s">
        <v>59</v>
      </c>
      <c r="L141" s="11"/>
      <c r="M141" s="33"/>
      <c r="N141" s="34"/>
      <c r="O141" s="15" t="s">
        <v>59</v>
      </c>
      <c r="P141" s="11"/>
      <c r="Q141" s="33"/>
      <c r="R141" s="34"/>
      <c r="S141" s="15" t="s">
        <v>59</v>
      </c>
      <c r="T141" s="11"/>
      <c r="U141" s="33"/>
      <c r="V141" s="38"/>
      <c r="W141" s="346"/>
      <c r="X141" s="342"/>
      <c r="Y141" s="342"/>
      <c r="Z141" s="342"/>
      <c r="AA141" s="342"/>
      <c r="AB141" s="344"/>
      <c r="AC141" s="346"/>
      <c r="AD141" s="342"/>
      <c r="AE141" s="342"/>
      <c r="AF141" s="342"/>
      <c r="AG141" s="342"/>
      <c r="AH141" s="344"/>
      <c r="AI141" s="346"/>
      <c r="AJ141" s="342"/>
      <c r="AK141" s="344"/>
      <c r="AL141" s="336">
        <v>2</v>
      </c>
      <c r="AM141" s="53" t="s">
        <v>0</v>
      </c>
      <c r="AN141" s="339"/>
      <c r="AO141" s="340"/>
      <c r="AP141" s="341"/>
      <c r="AQ141" s="336">
        <v>4</v>
      </c>
      <c r="AR141" s="53" t="s">
        <v>0</v>
      </c>
      <c r="AS141" s="339"/>
      <c r="AT141" s="340"/>
      <c r="AU141" s="341"/>
    </row>
    <row r="142" spans="1:47" ht="16.5" customHeight="1">
      <c r="A142" s="329"/>
      <c r="B142" s="330"/>
      <c r="C142" s="15" t="s">
        <v>39</v>
      </c>
      <c r="D142" s="19"/>
      <c r="E142" s="15" t="s">
        <v>50</v>
      </c>
      <c r="F142" s="18"/>
      <c r="G142" s="154">
        <v>6</v>
      </c>
      <c r="H142" s="181"/>
      <c r="I142" s="10"/>
      <c r="J142" s="26"/>
      <c r="K142" s="15" t="s">
        <v>60</v>
      </c>
      <c r="L142" s="11"/>
      <c r="M142" s="33"/>
      <c r="N142" s="34"/>
      <c r="O142" s="15" t="s">
        <v>60</v>
      </c>
      <c r="P142" s="11"/>
      <c r="Q142" s="33"/>
      <c r="R142" s="34"/>
      <c r="S142" s="15" t="s">
        <v>60</v>
      </c>
      <c r="T142" s="11"/>
      <c r="U142" s="33"/>
      <c r="V142" s="38"/>
      <c r="W142" s="346"/>
      <c r="X142" s="342"/>
      <c r="Y142" s="342"/>
      <c r="Z142" s="342"/>
      <c r="AA142" s="342"/>
      <c r="AB142" s="344"/>
      <c r="AC142" s="346"/>
      <c r="AD142" s="342"/>
      <c r="AE142" s="342"/>
      <c r="AF142" s="342"/>
      <c r="AG142" s="342"/>
      <c r="AH142" s="344"/>
      <c r="AI142" s="346">
        <v>8</v>
      </c>
      <c r="AJ142" s="342"/>
      <c r="AK142" s="344"/>
      <c r="AL142" s="337"/>
      <c r="AM142" s="54" t="s">
        <v>97</v>
      </c>
      <c r="AN142" s="176"/>
      <c r="AO142" s="179" t="s">
        <v>212</v>
      </c>
      <c r="AP142" s="177"/>
      <c r="AQ142" s="337"/>
      <c r="AR142" s="54" t="s">
        <v>97</v>
      </c>
      <c r="AS142" s="176"/>
      <c r="AT142" s="179" t="s">
        <v>212</v>
      </c>
      <c r="AU142" s="177"/>
    </row>
    <row r="143" spans="1:47" ht="16.5" customHeight="1">
      <c r="A143" s="329"/>
      <c r="B143" s="330"/>
      <c r="C143" s="15" t="s">
        <v>40</v>
      </c>
      <c r="D143" s="19"/>
      <c r="E143" s="15" t="s">
        <v>51</v>
      </c>
      <c r="F143" s="18"/>
      <c r="G143" s="155">
        <v>7</v>
      </c>
      <c r="H143" s="182"/>
      <c r="I143" s="12"/>
      <c r="J143" s="27"/>
      <c r="K143" s="15" t="s">
        <v>61</v>
      </c>
      <c r="L143" s="11"/>
      <c r="M143" s="33"/>
      <c r="N143" s="34"/>
      <c r="O143" s="15" t="s">
        <v>61</v>
      </c>
      <c r="P143" s="11"/>
      <c r="Q143" s="33"/>
      <c r="R143" s="34"/>
      <c r="S143" s="15" t="s">
        <v>61</v>
      </c>
      <c r="T143" s="11"/>
      <c r="U143" s="33"/>
      <c r="V143" s="38"/>
      <c r="W143" s="346"/>
      <c r="X143" s="342"/>
      <c r="Y143" s="342"/>
      <c r="Z143" s="342"/>
      <c r="AA143" s="342"/>
      <c r="AB143" s="344"/>
      <c r="AC143" s="346"/>
      <c r="AD143" s="342"/>
      <c r="AE143" s="342"/>
      <c r="AF143" s="342"/>
      <c r="AG143" s="342"/>
      <c r="AH143" s="344"/>
      <c r="AI143" s="346"/>
      <c r="AJ143" s="342"/>
      <c r="AK143" s="344"/>
      <c r="AL143" s="337"/>
      <c r="AM143" s="54" t="s">
        <v>98</v>
      </c>
      <c r="AN143" s="56"/>
      <c r="AO143" s="54" t="s">
        <v>13</v>
      </c>
      <c r="AP143" s="59"/>
      <c r="AQ143" s="337"/>
      <c r="AR143" s="54" t="s">
        <v>98</v>
      </c>
      <c r="AS143" s="56"/>
      <c r="AT143" s="54" t="s">
        <v>13</v>
      </c>
      <c r="AU143" s="59"/>
    </row>
    <row r="144" spans="1:47" ht="16.5" customHeight="1">
      <c r="A144" s="329"/>
      <c r="B144" s="330"/>
      <c r="C144" s="15" t="s">
        <v>41</v>
      </c>
      <c r="D144" s="19"/>
      <c r="E144" s="15" t="s">
        <v>52</v>
      </c>
      <c r="F144" s="18"/>
      <c r="G144" s="155">
        <v>8</v>
      </c>
      <c r="H144" s="185"/>
      <c r="I144" s="25"/>
      <c r="J144" s="29"/>
      <c r="K144" s="15" t="s">
        <v>62</v>
      </c>
      <c r="L144" s="11"/>
      <c r="M144" s="33"/>
      <c r="N144" s="34"/>
      <c r="O144" s="15" t="s">
        <v>62</v>
      </c>
      <c r="P144" s="11"/>
      <c r="Q144" s="33"/>
      <c r="R144" s="34"/>
      <c r="S144" s="15" t="s">
        <v>62</v>
      </c>
      <c r="T144" s="11"/>
      <c r="U144" s="33"/>
      <c r="V144" s="38"/>
      <c r="W144" s="346"/>
      <c r="X144" s="342"/>
      <c r="Y144" s="342"/>
      <c r="Z144" s="342"/>
      <c r="AA144" s="342"/>
      <c r="AB144" s="344"/>
      <c r="AC144" s="346"/>
      <c r="AD144" s="342"/>
      <c r="AE144" s="342"/>
      <c r="AF144" s="342"/>
      <c r="AG144" s="342"/>
      <c r="AH144" s="344"/>
      <c r="AI144" s="356"/>
      <c r="AJ144" s="343"/>
      <c r="AK144" s="345"/>
      <c r="AL144" s="337"/>
      <c r="AM144" s="54" t="s">
        <v>99</v>
      </c>
      <c r="AN144" s="57"/>
      <c r="AO144" s="54" t="s">
        <v>13</v>
      </c>
      <c r="AP144" s="60"/>
      <c r="AQ144" s="337"/>
      <c r="AR144" s="54" t="s">
        <v>99</v>
      </c>
      <c r="AS144" s="57"/>
      <c r="AT144" s="54" t="s">
        <v>13</v>
      </c>
      <c r="AU144" s="60"/>
    </row>
    <row r="145" spans="1:47" ht="16.5" customHeight="1">
      <c r="A145" s="329"/>
      <c r="B145" s="330"/>
      <c r="C145" s="15" t="s">
        <v>42</v>
      </c>
      <c r="D145" s="19"/>
      <c r="E145" s="16" t="s">
        <v>53</v>
      </c>
      <c r="F145" s="22"/>
      <c r="G145" s="160"/>
      <c r="H145" s="186"/>
      <c r="I145" s="161"/>
      <c r="J145" s="161"/>
      <c r="K145" s="15" t="s">
        <v>63</v>
      </c>
      <c r="L145" s="11"/>
      <c r="M145" s="33"/>
      <c r="N145" s="34"/>
      <c r="O145" s="15" t="s">
        <v>63</v>
      </c>
      <c r="P145" s="11"/>
      <c r="Q145" s="33"/>
      <c r="R145" s="34"/>
      <c r="S145" s="15" t="s">
        <v>63</v>
      </c>
      <c r="T145" s="11"/>
      <c r="U145" s="33"/>
      <c r="V145" s="38"/>
      <c r="W145" s="356"/>
      <c r="X145" s="343"/>
      <c r="Y145" s="343"/>
      <c r="Z145" s="343"/>
      <c r="AA145" s="343"/>
      <c r="AB145" s="345"/>
      <c r="AC145" s="356"/>
      <c r="AD145" s="343"/>
      <c r="AE145" s="343"/>
      <c r="AF145" s="343"/>
      <c r="AG145" s="343"/>
      <c r="AH145" s="345"/>
      <c r="AI145" s="172"/>
      <c r="AJ145" s="173"/>
      <c r="AK145" s="174"/>
      <c r="AL145" s="338"/>
      <c r="AM145" s="55" t="s">
        <v>100</v>
      </c>
      <c r="AN145" s="58"/>
      <c r="AO145" s="55" t="s">
        <v>101</v>
      </c>
      <c r="AP145" s="61"/>
      <c r="AQ145" s="338"/>
      <c r="AR145" s="55" t="s">
        <v>100</v>
      </c>
      <c r="AS145" s="58"/>
      <c r="AT145" s="55" t="s">
        <v>101</v>
      </c>
      <c r="AU145" s="61"/>
    </row>
    <row r="146" spans="1:47" ht="16.5" customHeight="1">
      <c r="A146" s="329"/>
      <c r="B146" s="330"/>
      <c r="C146" s="16" t="s">
        <v>43</v>
      </c>
      <c r="D146" s="21"/>
      <c r="E146" s="189" t="s">
        <v>293</v>
      </c>
      <c r="F146" s="190" t="s">
        <v>186</v>
      </c>
      <c r="G146" s="162"/>
      <c r="H146" s="187"/>
      <c r="I146" s="163"/>
      <c r="J146" s="163"/>
      <c r="K146" s="30" t="s">
        <v>64</v>
      </c>
      <c r="L146" s="24"/>
      <c r="M146" s="35"/>
      <c r="N146" s="36"/>
      <c r="O146" s="30" t="s">
        <v>64</v>
      </c>
      <c r="P146" s="24"/>
      <c r="Q146" s="35"/>
      <c r="R146" s="36"/>
      <c r="S146" s="30" t="s">
        <v>64</v>
      </c>
      <c r="T146" s="24"/>
      <c r="U146" s="35"/>
      <c r="V146" s="39"/>
      <c r="W146" s="156"/>
      <c r="X146" s="157"/>
      <c r="Y146" s="165"/>
      <c r="Z146" s="165"/>
      <c r="AA146" s="166"/>
      <c r="AB146" s="167"/>
      <c r="AC146" s="168"/>
      <c r="AD146" s="169"/>
      <c r="AE146" s="170"/>
      <c r="AF146" s="170"/>
      <c r="AG146" s="170"/>
      <c r="AH146" s="171"/>
      <c r="AI146" s="168"/>
      <c r="AJ146" s="169"/>
      <c r="AK146" s="171"/>
      <c r="AL146" s="175"/>
      <c r="AM146" s="158"/>
      <c r="AN146" s="158"/>
      <c r="AO146" s="158"/>
      <c r="AP146" s="159"/>
      <c r="AQ146" s="175"/>
      <c r="AR146" s="158"/>
      <c r="AS146" s="158"/>
      <c r="AT146" s="158"/>
      <c r="AU146" s="159"/>
    </row>
    <row r="147" spans="1:47" ht="16.5" customHeight="1"/>
    <row r="148" spans="1:47" ht="16.5" customHeight="1">
      <c r="A148" s="329">
        <v>13</v>
      </c>
      <c r="B148" s="330" t="s">
        <v>261</v>
      </c>
      <c r="C148" s="14" t="s">
        <v>45</v>
      </c>
      <c r="D148" s="52"/>
      <c r="E148" s="14" t="s">
        <v>46</v>
      </c>
      <c r="F148" s="17"/>
      <c r="G148" s="149">
        <v>6</v>
      </c>
      <c r="H148" s="181"/>
      <c r="I148" s="10"/>
      <c r="J148" s="26"/>
      <c r="K148" s="14" t="s">
        <v>54</v>
      </c>
      <c r="L148" s="9"/>
      <c r="M148" s="31"/>
      <c r="N148" s="32"/>
      <c r="O148" s="14" t="s">
        <v>54</v>
      </c>
      <c r="P148" s="9"/>
      <c r="Q148" s="31"/>
      <c r="R148" s="32"/>
      <c r="S148" s="14" t="s">
        <v>54</v>
      </c>
      <c r="T148" s="9"/>
      <c r="U148" s="31"/>
      <c r="V148" s="37"/>
      <c r="W148" s="353"/>
      <c r="X148" s="354"/>
      <c r="Y148" s="354"/>
      <c r="Z148" s="354"/>
      <c r="AA148" s="354"/>
      <c r="AB148" s="355"/>
      <c r="AC148" s="353"/>
      <c r="AD148" s="354"/>
      <c r="AE148" s="354"/>
      <c r="AF148" s="354"/>
      <c r="AG148" s="354"/>
      <c r="AH148" s="355"/>
      <c r="AI148" s="353">
        <v>6</v>
      </c>
      <c r="AJ148" s="354"/>
      <c r="AK148" s="355"/>
      <c r="AL148" s="336">
        <v>1</v>
      </c>
      <c r="AM148" s="53" t="s">
        <v>0</v>
      </c>
      <c r="AN148" s="339"/>
      <c r="AO148" s="340"/>
      <c r="AP148" s="341"/>
      <c r="AQ148" s="336">
        <v>3</v>
      </c>
      <c r="AR148" s="53" t="s">
        <v>0</v>
      </c>
      <c r="AS148" s="339"/>
      <c r="AT148" s="340"/>
      <c r="AU148" s="341"/>
    </row>
    <row r="149" spans="1:47" ht="16.5" customHeight="1">
      <c r="A149" s="329"/>
      <c r="B149" s="330"/>
      <c r="C149" s="15" t="s">
        <v>36</v>
      </c>
      <c r="D149" s="19"/>
      <c r="E149" s="15" t="s">
        <v>73</v>
      </c>
      <c r="F149" s="18"/>
      <c r="G149" s="150">
        <v>7</v>
      </c>
      <c r="H149" s="182"/>
      <c r="I149" s="12"/>
      <c r="J149" s="27"/>
      <c r="K149" s="15" t="s">
        <v>55</v>
      </c>
      <c r="L149" s="11"/>
      <c r="M149" s="33"/>
      <c r="N149" s="34"/>
      <c r="O149" s="15" t="s">
        <v>55</v>
      </c>
      <c r="P149" s="11"/>
      <c r="Q149" s="33"/>
      <c r="R149" s="34"/>
      <c r="S149" s="15" t="s">
        <v>55</v>
      </c>
      <c r="T149" s="11"/>
      <c r="U149" s="33"/>
      <c r="V149" s="38"/>
      <c r="W149" s="346"/>
      <c r="X149" s="342"/>
      <c r="Y149" s="342"/>
      <c r="Z149" s="342"/>
      <c r="AA149" s="342"/>
      <c r="AB149" s="344"/>
      <c r="AC149" s="346"/>
      <c r="AD149" s="342"/>
      <c r="AE149" s="342"/>
      <c r="AF149" s="342"/>
      <c r="AG149" s="342"/>
      <c r="AH149" s="344"/>
      <c r="AI149" s="346"/>
      <c r="AJ149" s="342"/>
      <c r="AK149" s="344"/>
      <c r="AL149" s="337"/>
      <c r="AM149" s="54" t="s">
        <v>97</v>
      </c>
      <c r="AN149" s="176"/>
      <c r="AO149" s="54" t="s">
        <v>212</v>
      </c>
      <c r="AP149" s="178"/>
      <c r="AQ149" s="337"/>
      <c r="AR149" s="54" t="s">
        <v>97</v>
      </c>
      <c r="AS149" s="176"/>
      <c r="AT149" s="179" t="s">
        <v>212</v>
      </c>
      <c r="AU149" s="177"/>
    </row>
    <row r="150" spans="1:47" ht="16.5" customHeight="1">
      <c r="A150" s="329"/>
      <c r="B150" s="330"/>
      <c r="C150" s="15" t="s">
        <v>37</v>
      </c>
      <c r="D150" s="20"/>
      <c r="E150" s="15" t="s">
        <v>47</v>
      </c>
      <c r="F150" s="18"/>
      <c r="G150" s="150">
        <v>8</v>
      </c>
      <c r="H150" s="183"/>
      <c r="I150" s="13"/>
      <c r="J150" s="28"/>
      <c r="K150" s="15" t="s">
        <v>56</v>
      </c>
      <c r="L150" s="11"/>
      <c r="M150" s="33"/>
      <c r="N150" s="34"/>
      <c r="O150" s="15" t="s">
        <v>56</v>
      </c>
      <c r="P150" s="11"/>
      <c r="Q150" s="33"/>
      <c r="R150" s="34"/>
      <c r="S150" s="15" t="s">
        <v>56</v>
      </c>
      <c r="T150" s="11"/>
      <c r="U150" s="33"/>
      <c r="V150" s="38"/>
      <c r="W150" s="346"/>
      <c r="X150" s="342"/>
      <c r="Y150" s="342"/>
      <c r="Z150" s="342"/>
      <c r="AA150" s="342"/>
      <c r="AB150" s="344"/>
      <c r="AC150" s="346"/>
      <c r="AD150" s="342"/>
      <c r="AE150" s="342"/>
      <c r="AF150" s="342"/>
      <c r="AG150" s="342"/>
      <c r="AH150" s="344"/>
      <c r="AI150" s="346"/>
      <c r="AJ150" s="342"/>
      <c r="AK150" s="344"/>
      <c r="AL150" s="337"/>
      <c r="AM150" s="54" t="s">
        <v>98</v>
      </c>
      <c r="AN150" s="56"/>
      <c r="AO150" s="54" t="s">
        <v>13</v>
      </c>
      <c r="AP150" s="59"/>
      <c r="AQ150" s="337"/>
      <c r="AR150" s="54" t="s">
        <v>98</v>
      </c>
      <c r="AS150" s="56"/>
      <c r="AT150" s="54" t="s">
        <v>13</v>
      </c>
      <c r="AU150" s="59"/>
    </row>
    <row r="151" spans="1:47" ht="16.5" customHeight="1">
      <c r="A151" s="329"/>
      <c r="B151" s="330"/>
      <c r="C151" s="15" t="s">
        <v>44</v>
      </c>
      <c r="D151" s="19"/>
      <c r="E151" s="15" t="s">
        <v>65</v>
      </c>
      <c r="F151" s="18"/>
      <c r="G151" s="153"/>
      <c r="H151" s="184"/>
      <c r="I151" s="23"/>
      <c r="J151" s="23"/>
      <c r="K151" s="15" t="s">
        <v>57</v>
      </c>
      <c r="L151" s="11"/>
      <c r="M151" s="33"/>
      <c r="N151" s="34"/>
      <c r="O151" s="15" t="s">
        <v>57</v>
      </c>
      <c r="P151" s="11"/>
      <c r="Q151" s="33"/>
      <c r="R151" s="34"/>
      <c r="S151" s="15" t="s">
        <v>57</v>
      </c>
      <c r="T151" s="11"/>
      <c r="U151" s="33"/>
      <c r="V151" s="38"/>
      <c r="W151" s="346"/>
      <c r="X151" s="342"/>
      <c r="Y151" s="342"/>
      <c r="Z151" s="342"/>
      <c r="AA151" s="342"/>
      <c r="AB151" s="344"/>
      <c r="AC151" s="346"/>
      <c r="AD151" s="342"/>
      <c r="AE151" s="342"/>
      <c r="AF151" s="342"/>
      <c r="AG151" s="342"/>
      <c r="AH151" s="344"/>
      <c r="AI151" s="346">
        <v>7</v>
      </c>
      <c r="AJ151" s="342"/>
      <c r="AK151" s="344"/>
      <c r="AL151" s="337"/>
      <c r="AM151" s="54" t="s">
        <v>99</v>
      </c>
      <c r="AN151" s="57"/>
      <c r="AO151" s="54" t="s">
        <v>13</v>
      </c>
      <c r="AP151" s="60"/>
      <c r="AQ151" s="337"/>
      <c r="AR151" s="54" t="s">
        <v>99</v>
      </c>
      <c r="AS151" s="57"/>
      <c r="AT151" s="54" t="s">
        <v>13</v>
      </c>
      <c r="AU151" s="60"/>
    </row>
    <row r="152" spans="1:47" ht="16.5" customHeight="1">
      <c r="A152" s="329"/>
      <c r="B152" s="330"/>
      <c r="C152" s="15" t="s">
        <v>229</v>
      </c>
      <c r="D152" s="4"/>
      <c r="E152" s="15" t="s">
        <v>48</v>
      </c>
      <c r="F152" s="18"/>
      <c r="G152" s="331" t="s">
        <v>12</v>
      </c>
      <c r="H152" s="332"/>
      <c r="I152" s="332"/>
      <c r="J152" s="332"/>
      <c r="K152" s="15" t="s">
        <v>58</v>
      </c>
      <c r="L152" s="11"/>
      <c r="M152" s="33"/>
      <c r="N152" s="34"/>
      <c r="O152" s="15" t="s">
        <v>58</v>
      </c>
      <c r="P152" s="11"/>
      <c r="Q152" s="33"/>
      <c r="R152" s="34"/>
      <c r="S152" s="15" t="s">
        <v>58</v>
      </c>
      <c r="T152" s="11"/>
      <c r="U152" s="33"/>
      <c r="V152" s="38"/>
      <c r="W152" s="346"/>
      <c r="X152" s="342"/>
      <c r="Y152" s="342"/>
      <c r="Z152" s="342"/>
      <c r="AA152" s="342"/>
      <c r="AB152" s="344"/>
      <c r="AC152" s="346"/>
      <c r="AD152" s="342"/>
      <c r="AE152" s="342"/>
      <c r="AF152" s="342"/>
      <c r="AG152" s="342"/>
      <c r="AH152" s="344"/>
      <c r="AI152" s="346"/>
      <c r="AJ152" s="342"/>
      <c r="AK152" s="344"/>
      <c r="AL152" s="338"/>
      <c r="AM152" s="55" t="s">
        <v>100</v>
      </c>
      <c r="AN152" s="58"/>
      <c r="AO152" s="55" t="s">
        <v>101</v>
      </c>
      <c r="AP152" s="61"/>
      <c r="AQ152" s="338"/>
      <c r="AR152" s="55" t="s">
        <v>100</v>
      </c>
      <c r="AS152" s="58"/>
      <c r="AT152" s="55" t="s">
        <v>101</v>
      </c>
      <c r="AU152" s="61"/>
    </row>
    <row r="153" spans="1:47" ht="16.5" customHeight="1">
      <c r="A153" s="329"/>
      <c r="B153" s="330"/>
      <c r="C153" s="15" t="s">
        <v>38</v>
      </c>
      <c r="D153" s="19"/>
      <c r="E153" s="15" t="s">
        <v>49</v>
      </c>
      <c r="F153" s="18"/>
      <c r="G153" s="8" t="s">
        <v>13</v>
      </c>
      <c r="H153" s="180" t="s">
        <v>14</v>
      </c>
      <c r="I153" s="6" t="s">
        <v>15</v>
      </c>
      <c r="J153" s="6" t="s">
        <v>16</v>
      </c>
      <c r="K153" s="15" t="s">
        <v>59</v>
      </c>
      <c r="L153" s="11"/>
      <c r="M153" s="33"/>
      <c r="N153" s="34"/>
      <c r="O153" s="15" t="s">
        <v>59</v>
      </c>
      <c r="P153" s="11"/>
      <c r="Q153" s="33"/>
      <c r="R153" s="34"/>
      <c r="S153" s="15" t="s">
        <v>59</v>
      </c>
      <c r="T153" s="11"/>
      <c r="U153" s="33"/>
      <c r="V153" s="38"/>
      <c r="W153" s="346"/>
      <c r="X153" s="342"/>
      <c r="Y153" s="342"/>
      <c r="Z153" s="342"/>
      <c r="AA153" s="342"/>
      <c r="AB153" s="344"/>
      <c r="AC153" s="346"/>
      <c r="AD153" s="342"/>
      <c r="AE153" s="342"/>
      <c r="AF153" s="342"/>
      <c r="AG153" s="342"/>
      <c r="AH153" s="344"/>
      <c r="AI153" s="346"/>
      <c r="AJ153" s="342"/>
      <c r="AK153" s="344"/>
      <c r="AL153" s="336">
        <v>2</v>
      </c>
      <c r="AM153" s="53" t="s">
        <v>0</v>
      </c>
      <c r="AN153" s="339"/>
      <c r="AO153" s="340"/>
      <c r="AP153" s="341"/>
      <c r="AQ153" s="336">
        <v>4</v>
      </c>
      <c r="AR153" s="53" t="s">
        <v>0</v>
      </c>
      <c r="AS153" s="339"/>
      <c r="AT153" s="340"/>
      <c r="AU153" s="341"/>
    </row>
    <row r="154" spans="1:47" ht="16.5" customHeight="1">
      <c r="A154" s="329"/>
      <c r="B154" s="330"/>
      <c r="C154" s="15" t="s">
        <v>39</v>
      </c>
      <c r="D154" s="19"/>
      <c r="E154" s="15" t="s">
        <v>50</v>
      </c>
      <c r="F154" s="18"/>
      <c r="G154" s="154">
        <v>6</v>
      </c>
      <c r="H154" s="181"/>
      <c r="I154" s="10"/>
      <c r="J154" s="26"/>
      <c r="K154" s="15" t="s">
        <v>60</v>
      </c>
      <c r="L154" s="11"/>
      <c r="M154" s="33"/>
      <c r="N154" s="34"/>
      <c r="O154" s="15" t="s">
        <v>60</v>
      </c>
      <c r="P154" s="11"/>
      <c r="Q154" s="33"/>
      <c r="R154" s="34"/>
      <c r="S154" s="15" t="s">
        <v>60</v>
      </c>
      <c r="T154" s="11"/>
      <c r="U154" s="33"/>
      <c r="V154" s="38"/>
      <c r="W154" s="346"/>
      <c r="X154" s="342"/>
      <c r="Y154" s="342"/>
      <c r="Z154" s="342"/>
      <c r="AA154" s="342"/>
      <c r="AB154" s="344"/>
      <c r="AC154" s="346"/>
      <c r="AD154" s="342"/>
      <c r="AE154" s="342"/>
      <c r="AF154" s="342"/>
      <c r="AG154" s="342"/>
      <c r="AH154" s="344"/>
      <c r="AI154" s="346">
        <v>8</v>
      </c>
      <c r="AJ154" s="342"/>
      <c r="AK154" s="344"/>
      <c r="AL154" s="337"/>
      <c r="AM154" s="54" t="s">
        <v>97</v>
      </c>
      <c r="AN154" s="176"/>
      <c r="AO154" s="179" t="s">
        <v>212</v>
      </c>
      <c r="AP154" s="177"/>
      <c r="AQ154" s="337"/>
      <c r="AR154" s="54" t="s">
        <v>97</v>
      </c>
      <c r="AS154" s="176"/>
      <c r="AT154" s="179" t="s">
        <v>212</v>
      </c>
      <c r="AU154" s="177"/>
    </row>
    <row r="155" spans="1:47" ht="16.5" customHeight="1">
      <c r="A155" s="329"/>
      <c r="B155" s="330"/>
      <c r="C155" s="15" t="s">
        <v>40</v>
      </c>
      <c r="D155" s="19"/>
      <c r="E155" s="15" t="s">
        <v>51</v>
      </c>
      <c r="F155" s="18"/>
      <c r="G155" s="155">
        <v>7</v>
      </c>
      <c r="H155" s="182"/>
      <c r="I155" s="12"/>
      <c r="J155" s="27"/>
      <c r="K155" s="15" t="s">
        <v>61</v>
      </c>
      <c r="L155" s="11"/>
      <c r="M155" s="33"/>
      <c r="N155" s="34"/>
      <c r="O155" s="15" t="s">
        <v>61</v>
      </c>
      <c r="P155" s="11"/>
      <c r="Q155" s="33"/>
      <c r="R155" s="34"/>
      <c r="S155" s="15" t="s">
        <v>61</v>
      </c>
      <c r="T155" s="11"/>
      <c r="U155" s="33"/>
      <c r="V155" s="38"/>
      <c r="W155" s="346"/>
      <c r="X155" s="342"/>
      <c r="Y155" s="342"/>
      <c r="Z155" s="342"/>
      <c r="AA155" s="342"/>
      <c r="AB155" s="344"/>
      <c r="AC155" s="346"/>
      <c r="AD155" s="342"/>
      <c r="AE155" s="342"/>
      <c r="AF155" s="342"/>
      <c r="AG155" s="342"/>
      <c r="AH155" s="344"/>
      <c r="AI155" s="346"/>
      <c r="AJ155" s="342"/>
      <c r="AK155" s="344"/>
      <c r="AL155" s="337"/>
      <c r="AM155" s="54" t="s">
        <v>98</v>
      </c>
      <c r="AN155" s="56"/>
      <c r="AO155" s="54" t="s">
        <v>13</v>
      </c>
      <c r="AP155" s="59"/>
      <c r="AQ155" s="337"/>
      <c r="AR155" s="54" t="s">
        <v>98</v>
      </c>
      <c r="AS155" s="56"/>
      <c r="AT155" s="54" t="s">
        <v>13</v>
      </c>
      <c r="AU155" s="59"/>
    </row>
    <row r="156" spans="1:47" ht="16.5" customHeight="1">
      <c r="A156" s="329"/>
      <c r="B156" s="330"/>
      <c r="C156" s="15" t="s">
        <v>41</v>
      </c>
      <c r="D156" s="19"/>
      <c r="E156" s="15" t="s">
        <v>52</v>
      </c>
      <c r="F156" s="18"/>
      <c r="G156" s="155">
        <v>8</v>
      </c>
      <c r="H156" s="185"/>
      <c r="I156" s="25"/>
      <c r="J156" s="29"/>
      <c r="K156" s="15" t="s">
        <v>62</v>
      </c>
      <c r="L156" s="11"/>
      <c r="M156" s="33"/>
      <c r="N156" s="34"/>
      <c r="O156" s="15" t="s">
        <v>62</v>
      </c>
      <c r="P156" s="11"/>
      <c r="Q156" s="33"/>
      <c r="R156" s="34"/>
      <c r="S156" s="15" t="s">
        <v>62</v>
      </c>
      <c r="T156" s="11"/>
      <c r="U156" s="33"/>
      <c r="V156" s="38"/>
      <c r="W156" s="346"/>
      <c r="X156" s="342"/>
      <c r="Y156" s="342"/>
      <c r="Z156" s="342"/>
      <c r="AA156" s="342"/>
      <c r="AB156" s="344"/>
      <c r="AC156" s="346"/>
      <c r="AD156" s="342"/>
      <c r="AE156" s="342"/>
      <c r="AF156" s="342"/>
      <c r="AG156" s="342"/>
      <c r="AH156" s="344"/>
      <c r="AI156" s="356"/>
      <c r="AJ156" s="343"/>
      <c r="AK156" s="345"/>
      <c r="AL156" s="337"/>
      <c r="AM156" s="54" t="s">
        <v>99</v>
      </c>
      <c r="AN156" s="57"/>
      <c r="AO156" s="54" t="s">
        <v>13</v>
      </c>
      <c r="AP156" s="60"/>
      <c r="AQ156" s="337"/>
      <c r="AR156" s="54" t="s">
        <v>99</v>
      </c>
      <c r="AS156" s="57"/>
      <c r="AT156" s="54" t="s">
        <v>13</v>
      </c>
      <c r="AU156" s="60"/>
    </row>
    <row r="157" spans="1:47" ht="16.5" customHeight="1">
      <c r="A157" s="329"/>
      <c r="B157" s="330"/>
      <c r="C157" s="15" t="s">
        <v>42</v>
      </c>
      <c r="D157" s="19"/>
      <c r="E157" s="16" t="s">
        <v>53</v>
      </c>
      <c r="F157" s="22"/>
      <c r="G157" s="160"/>
      <c r="H157" s="186"/>
      <c r="I157" s="161"/>
      <c r="J157" s="161"/>
      <c r="K157" s="15" t="s">
        <v>63</v>
      </c>
      <c r="L157" s="11"/>
      <c r="M157" s="33"/>
      <c r="N157" s="34"/>
      <c r="O157" s="15" t="s">
        <v>63</v>
      </c>
      <c r="P157" s="11"/>
      <c r="Q157" s="33"/>
      <c r="R157" s="34"/>
      <c r="S157" s="15" t="s">
        <v>63</v>
      </c>
      <c r="T157" s="11"/>
      <c r="U157" s="33"/>
      <c r="V157" s="38"/>
      <c r="W157" s="356"/>
      <c r="X157" s="343"/>
      <c r="Y157" s="343"/>
      <c r="Z157" s="343"/>
      <c r="AA157" s="343"/>
      <c r="AB157" s="345"/>
      <c r="AC157" s="356"/>
      <c r="AD157" s="343"/>
      <c r="AE157" s="343"/>
      <c r="AF157" s="343"/>
      <c r="AG157" s="343"/>
      <c r="AH157" s="345"/>
      <c r="AI157" s="172"/>
      <c r="AJ157" s="173"/>
      <c r="AK157" s="174"/>
      <c r="AL157" s="338"/>
      <c r="AM157" s="55" t="s">
        <v>100</v>
      </c>
      <c r="AN157" s="58"/>
      <c r="AO157" s="55" t="s">
        <v>101</v>
      </c>
      <c r="AP157" s="61"/>
      <c r="AQ157" s="338"/>
      <c r="AR157" s="55" t="s">
        <v>100</v>
      </c>
      <c r="AS157" s="58"/>
      <c r="AT157" s="55" t="s">
        <v>101</v>
      </c>
      <c r="AU157" s="61"/>
    </row>
    <row r="158" spans="1:47" ht="16.5" customHeight="1">
      <c r="A158" s="329"/>
      <c r="B158" s="330"/>
      <c r="C158" s="16" t="s">
        <v>43</v>
      </c>
      <c r="D158" s="21"/>
      <c r="E158" s="189" t="s">
        <v>293</v>
      </c>
      <c r="F158" s="190" t="s">
        <v>186</v>
      </c>
      <c r="G158" s="162"/>
      <c r="H158" s="187"/>
      <c r="I158" s="163"/>
      <c r="J158" s="163"/>
      <c r="K158" s="30" t="s">
        <v>64</v>
      </c>
      <c r="L158" s="24"/>
      <c r="M158" s="35"/>
      <c r="N158" s="36"/>
      <c r="O158" s="30" t="s">
        <v>64</v>
      </c>
      <c r="P158" s="24"/>
      <c r="Q158" s="35"/>
      <c r="R158" s="36"/>
      <c r="S158" s="30" t="s">
        <v>64</v>
      </c>
      <c r="T158" s="24"/>
      <c r="U158" s="35"/>
      <c r="V158" s="39"/>
      <c r="W158" s="156"/>
      <c r="X158" s="157"/>
      <c r="Y158" s="165"/>
      <c r="Z158" s="165"/>
      <c r="AA158" s="166"/>
      <c r="AB158" s="167"/>
      <c r="AC158" s="168"/>
      <c r="AD158" s="169"/>
      <c r="AE158" s="170"/>
      <c r="AF158" s="170"/>
      <c r="AG158" s="170"/>
      <c r="AH158" s="171"/>
      <c r="AI158" s="168"/>
      <c r="AJ158" s="169"/>
      <c r="AK158" s="171"/>
      <c r="AL158" s="175"/>
      <c r="AM158" s="158"/>
      <c r="AN158" s="158"/>
      <c r="AO158" s="158"/>
      <c r="AP158" s="159"/>
      <c r="AQ158" s="175"/>
      <c r="AR158" s="158"/>
      <c r="AS158" s="158"/>
      <c r="AT158" s="158"/>
      <c r="AU158" s="159"/>
    </row>
    <row r="159" spans="1:47" ht="16.5" customHeight="1"/>
    <row r="160" spans="1:47" ht="16.5" customHeight="1">
      <c r="A160" s="329">
        <v>14</v>
      </c>
      <c r="B160" s="330" t="s">
        <v>262</v>
      </c>
      <c r="C160" s="14" t="s">
        <v>45</v>
      </c>
      <c r="D160" s="52"/>
      <c r="E160" s="14" t="s">
        <v>46</v>
      </c>
      <c r="F160" s="17"/>
      <c r="G160" s="149">
        <v>6</v>
      </c>
      <c r="H160" s="181"/>
      <c r="I160" s="10"/>
      <c r="J160" s="26"/>
      <c r="K160" s="14" t="s">
        <v>54</v>
      </c>
      <c r="L160" s="9"/>
      <c r="M160" s="31"/>
      <c r="N160" s="32"/>
      <c r="O160" s="14" t="s">
        <v>54</v>
      </c>
      <c r="P160" s="9"/>
      <c r="Q160" s="31"/>
      <c r="R160" s="32"/>
      <c r="S160" s="14" t="s">
        <v>54</v>
      </c>
      <c r="T160" s="9"/>
      <c r="U160" s="31"/>
      <c r="V160" s="37"/>
      <c r="W160" s="353"/>
      <c r="X160" s="354"/>
      <c r="Y160" s="354"/>
      <c r="Z160" s="354"/>
      <c r="AA160" s="354"/>
      <c r="AB160" s="355"/>
      <c r="AC160" s="353"/>
      <c r="AD160" s="354"/>
      <c r="AE160" s="354"/>
      <c r="AF160" s="354"/>
      <c r="AG160" s="354"/>
      <c r="AH160" s="355"/>
      <c r="AI160" s="353">
        <v>6</v>
      </c>
      <c r="AJ160" s="354"/>
      <c r="AK160" s="355"/>
      <c r="AL160" s="336">
        <v>1</v>
      </c>
      <c r="AM160" s="53" t="s">
        <v>0</v>
      </c>
      <c r="AN160" s="339"/>
      <c r="AO160" s="340"/>
      <c r="AP160" s="341"/>
      <c r="AQ160" s="336">
        <v>3</v>
      </c>
      <c r="AR160" s="53" t="s">
        <v>0</v>
      </c>
      <c r="AS160" s="339"/>
      <c r="AT160" s="340"/>
      <c r="AU160" s="341"/>
    </row>
    <row r="161" spans="1:47" ht="16.5" customHeight="1">
      <c r="A161" s="329"/>
      <c r="B161" s="330"/>
      <c r="C161" s="15" t="s">
        <v>36</v>
      </c>
      <c r="D161" s="19"/>
      <c r="E161" s="15" t="s">
        <v>73</v>
      </c>
      <c r="F161" s="18"/>
      <c r="G161" s="150">
        <v>7</v>
      </c>
      <c r="H161" s="182"/>
      <c r="I161" s="12"/>
      <c r="J161" s="27"/>
      <c r="K161" s="15" t="s">
        <v>55</v>
      </c>
      <c r="L161" s="11"/>
      <c r="M161" s="33"/>
      <c r="N161" s="34"/>
      <c r="O161" s="15" t="s">
        <v>55</v>
      </c>
      <c r="P161" s="11"/>
      <c r="Q161" s="33"/>
      <c r="R161" s="34"/>
      <c r="S161" s="15" t="s">
        <v>55</v>
      </c>
      <c r="T161" s="11"/>
      <c r="U161" s="33"/>
      <c r="V161" s="38"/>
      <c r="W161" s="346"/>
      <c r="X161" s="342"/>
      <c r="Y161" s="342"/>
      <c r="Z161" s="342"/>
      <c r="AA161" s="342"/>
      <c r="AB161" s="344"/>
      <c r="AC161" s="346"/>
      <c r="AD161" s="342"/>
      <c r="AE161" s="342"/>
      <c r="AF161" s="342"/>
      <c r="AG161" s="342"/>
      <c r="AH161" s="344"/>
      <c r="AI161" s="346"/>
      <c r="AJ161" s="342"/>
      <c r="AK161" s="344"/>
      <c r="AL161" s="337"/>
      <c r="AM161" s="54" t="s">
        <v>97</v>
      </c>
      <c r="AN161" s="176"/>
      <c r="AO161" s="54" t="s">
        <v>212</v>
      </c>
      <c r="AP161" s="178"/>
      <c r="AQ161" s="337"/>
      <c r="AR161" s="54" t="s">
        <v>97</v>
      </c>
      <c r="AS161" s="176"/>
      <c r="AT161" s="179" t="s">
        <v>212</v>
      </c>
      <c r="AU161" s="177"/>
    </row>
    <row r="162" spans="1:47" ht="16.5" customHeight="1">
      <c r="A162" s="329"/>
      <c r="B162" s="330"/>
      <c r="C162" s="15" t="s">
        <v>37</v>
      </c>
      <c r="D162" s="20"/>
      <c r="E162" s="15" t="s">
        <v>47</v>
      </c>
      <c r="F162" s="18"/>
      <c r="G162" s="150">
        <v>8</v>
      </c>
      <c r="H162" s="183"/>
      <c r="I162" s="13"/>
      <c r="J162" s="28"/>
      <c r="K162" s="15" t="s">
        <v>56</v>
      </c>
      <c r="L162" s="11"/>
      <c r="M162" s="33"/>
      <c r="N162" s="34"/>
      <c r="O162" s="15" t="s">
        <v>56</v>
      </c>
      <c r="P162" s="11"/>
      <c r="Q162" s="33"/>
      <c r="R162" s="34"/>
      <c r="S162" s="15" t="s">
        <v>56</v>
      </c>
      <c r="T162" s="11"/>
      <c r="U162" s="33"/>
      <c r="V162" s="38"/>
      <c r="W162" s="346"/>
      <c r="X162" s="342"/>
      <c r="Y162" s="342"/>
      <c r="Z162" s="342"/>
      <c r="AA162" s="342"/>
      <c r="AB162" s="344"/>
      <c r="AC162" s="346"/>
      <c r="AD162" s="342"/>
      <c r="AE162" s="342"/>
      <c r="AF162" s="342"/>
      <c r="AG162" s="342"/>
      <c r="AH162" s="344"/>
      <c r="AI162" s="346"/>
      <c r="AJ162" s="342"/>
      <c r="AK162" s="344"/>
      <c r="AL162" s="337"/>
      <c r="AM162" s="54" t="s">
        <v>98</v>
      </c>
      <c r="AN162" s="56"/>
      <c r="AO162" s="54" t="s">
        <v>13</v>
      </c>
      <c r="AP162" s="59"/>
      <c r="AQ162" s="337"/>
      <c r="AR162" s="54" t="s">
        <v>98</v>
      </c>
      <c r="AS162" s="56"/>
      <c r="AT162" s="54" t="s">
        <v>13</v>
      </c>
      <c r="AU162" s="59"/>
    </row>
    <row r="163" spans="1:47" ht="16.5" customHeight="1">
      <c r="A163" s="329"/>
      <c r="B163" s="330"/>
      <c r="C163" s="15" t="s">
        <v>44</v>
      </c>
      <c r="D163" s="19"/>
      <c r="E163" s="15" t="s">
        <v>65</v>
      </c>
      <c r="F163" s="18"/>
      <c r="G163" s="153"/>
      <c r="H163" s="184"/>
      <c r="I163" s="23"/>
      <c r="J163" s="23"/>
      <c r="K163" s="15" t="s">
        <v>57</v>
      </c>
      <c r="L163" s="11"/>
      <c r="M163" s="33"/>
      <c r="N163" s="34"/>
      <c r="O163" s="15" t="s">
        <v>57</v>
      </c>
      <c r="P163" s="11"/>
      <c r="Q163" s="33"/>
      <c r="R163" s="34"/>
      <c r="S163" s="15" t="s">
        <v>57</v>
      </c>
      <c r="T163" s="11"/>
      <c r="U163" s="33"/>
      <c r="V163" s="38"/>
      <c r="W163" s="346"/>
      <c r="X163" s="342"/>
      <c r="Y163" s="342"/>
      <c r="Z163" s="342"/>
      <c r="AA163" s="342"/>
      <c r="AB163" s="344"/>
      <c r="AC163" s="346"/>
      <c r="AD163" s="342"/>
      <c r="AE163" s="342"/>
      <c r="AF163" s="342"/>
      <c r="AG163" s="342"/>
      <c r="AH163" s="344"/>
      <c r="AI163" s="346">
        <v>7</v>
      </c>
      <c r="AJ163" s="342"/>
      <c r="AK163" s="344"/>
      <c r="AL163" s="337"/>
      <c r="AM163" s="54" t="s">
        <v>99</v>
      </c>
      <c r="AN163" s="57"/>
      <c r="AO163" s="54" t="s">
        <v>13</v>
      </c>
      <c r="AP163" s="60"/>
      <c r="AQ163" s="337"/>
      <c r="AR163" s="54" t="s">
        <v>99</v>
      </c>
      <c r="AS163" s="57"/>
      <c r="AT163" s="54" t="s">
        <v>13</v>
      </c>
      <c r="AU163" s="60"/>
    </row>
    <row r="164" spans="1:47" ht="16.5" customHeight="1">
      <c r="A164" s="329"/>
      <c r="B164" s="330"/>
      <c r="C164" s="15" t="s">
        <v>229</v>
      </c>
      <c r="D164" s="4"/>
      <c r="E164" s="15" t="s">
        <v>48</v>
      </c>
      <c r="F164" s="18"/>
      <c r="G164" s="331" t="s">
        <v>12</v>
      </c>
      <c r="H164" s="332"/>
      <c r="I164" s="332"/>
      <c r="J164" s="332"/>
      <c r="K164" s="15" t="s">
        <v>58</v>
      </c>
      <c r="L164" s="11"/>
      <c r="M164" s="33"/>
      <c r="N164" s="34"/>
      <c r="O164" s="15" t="s">
        <v>58</v>
      </c>
      <c r="P164" s="11"/>
      <c r="Q164" s="33"/>
      <c r="R164" s="34"/>
      <c r="S164" s="15" t="s">
        <v>58</v>
      </c>
      <c r="T164" s="11"/>
      <c r="U164" s="33"/>
      <c r="V164" s="38"/>
      <c r="W164" s="346"/>
      <c r="X164" s="342"/>
      <c r="Y164" s="342"/>
      <c r="Z164" s="342"/>
      <c r="AA164" s="342"/>
      <c r="AB164" s="344"/>
      <c r="AC164" s="346"/>
      <c r="AD164" s="342"/>
      <c r="AE164" s="342"/>
      <c r="AF164" s="342"/>
      <c r="AG164" s="342"/>
      <c r="AH164" s="344"/>
      <c r="AI164" s="346"/>
      <c r="AJ164" s="342"/>
      <c r="AK164" s="344"/>
      <c r="AL164" s="338"/>
      <c r="AM164" s="55" t="s">
        <v>100</v>
      </c>
      <c r="AN164" s="58"/>
      <c r="AO164" s="55" t="s">
        <v>101</v>
      </c>
      <c r="AP164" s="61"/>
      <c r="AQ164" s="338"/>
      <c r="AR164" s="55" t="s">
        <v>100</v>
      </c>
      <c r="AS164" s="58"/>
      <c r="AT164" s="55" t="s">
        <v>101</v>
      </c>
      <c r="AU164" s="61"/>
    </row>
    <row r="165" spans="1:47" ht="16.5" customHeight="1">
      <c r="A165" s="329"/>
      <c r="B165" s="330"/>
      <c r="C165" s="15" t="s">
        <v>38</v>
      </c>
      <c r="D165" s="19"/>
      <c r="E165" s="15" t="s">
        <v>49</v>
      </c>
      <c r="F165" s="18"/>
      <c r="G165" s="8" t="s">
        <v>13</v>
      </c>
      <c r="H165" s="180" t="s">
        <v>14</v>
      </c>
      <c r="I165" s="6" t="s">
        <v>15</v>
      </c>
      <c r="J165" s="6" t="s">
        <v>16</v>
      </c>
      <c r="K165" s="15" t="s">
        <v>59</v>
      </c>
      <c r="L165" s="11"/>
      <c r="M165" s="33"/>
      <c r="N165" s="34"/>
      <c r="O165" s="15" t="s">
        <v>59</v>
      </c>
      <c r="P165" s="11"/>
      <c r="Q165" s="33"/>
      <c r="R165" s="34"/>
      <c r="S165" s="15" t="s">
        <v>59</v>
      </c>
      <c r="T165" s="11"/>
      <c r="U165" s="33"/>
      <c r="V165" s="38"/>
      <c r="W165" s="346"/>
      <c r="X165" s="342"/>
      <c r="Y165" s="342"/>
      <c r="Z165" s="342"/>
      <c r="AA165" s="342"/>
      <c r="AB165" s="344"/>
      <c r="AC165" s="346"/>
      <c r="AD165" s="342"/>
      <c r="AE165" s="342"/>
      <c r="AF165" s="342"/>
      <c r="AG165" s="342"/>
      <c r="AH165" s="344"/>
      <c r="AI165" s="346"/>
      <c r="AJ165" s="342"/>
      <c r="AK165" s="344"/>
      <c r="AL165" s="336">
        <v>2</v>
      </c>
      <c r="AM165" s="53" t="s">
        <v>0</v>
      </c>
      <c r="AN165" s="339"/>
      <c r="AO165" s="340"/>
      <c r="AP165" s="341"/>
      <c r="AQ165" s="336">
        <v>4</v>
      </c>
      <c r="AR165" s="53" t="s">
        <v>0</v>
      </c>
      <c r="AS165" s="339"/>
      <c r="AT165" s="340"/>
      <c r="AU165" s="341"/>
    </row>
    <row r="166" spans="1:47" ht="16.5" customHeight="1">
      <c r="A166" s="329"/>
      <c r="B166" s="330"/>
      <c r="C166" s="15" t="s">
        <v>39</v>
      </c>
      <c r="D166" s="19"/>
      <c r="E166" s="15" t="s">
        <v>50</v>
      </c>
      <c r="F166" s="18"/>
      <c r="G166" s="154">
        <v>6</v>
      </c>
      <c r="H166" s="181"/>
      <c r="I166" s="10"/>
      <c r="J166" s="26"/>
      <c r="K166" s="15" t="s">
        <v>60</v>
      </c>
      <c r="L166" s="11"/>
      <c r="M166" s="33"/>
      <c r="N166" s="34"/>
      <c r="O166" s="15" t="s">
        <v>60</v>
      </c>
      <c r="P166" s="11"/>
      <c r="Q166" s="33"/>
      <c r="R166" s="34"/>
      <c r="S166" s="15" t="s">
        <v>60</v>
      </c>
      <c r="T166" s="11"/>
      <c r="U166" s="33"/>
      <c r="V166" s="38"/>
      <c r="W166" s="346"/>
      <c r="X166" s="342"/>
      <c r="Y166" s="342"/>
      <c r="Z166" s="342"/>
      <c r="AA166" s="342"/>
      <c r="AB166" s="344"/>
      <c r="AC166" s="346"/>
      <c r="AD166" s="342"/>
      <c r="AE166" s="342"/>
      <c r="AF166" s="342"/>
      <c r="AG166" s="342"/>
      <c r="AH166" s="344"/>
      <c r="AI166" s="346">
        <v>8</v>
      </c>
      <c r="AJ166" s="342"/>
      <c r="AK166" s="344"/>
      <c r="AL166" s="337"/>
      <c r="AM166" s="54" t="s">
        <v>97</v>
      </c>
      <c r="AN166" s="176"/>
      <c r="AO166" s="179" t="s">
        <v>212</v>
      </c>
      <c r="AP166" s="177"/>
      <c r="AQ166" s="337"/>
      <c r="AR166" s="54" t="s">
        <v>97</v>
      </c>
      <c r="AS166" s="176"/>
      <c r="AT166" s="179" t="s">
        <v>212</v>
      </c>
      <c r="AU166" s="177"/>
    </row>
    <row r="167" spans="1:47" ht="16.5" customHeight="1">
      <c r="A167" s="329"/>
      <c r="B167" s="330"/>
      <c r="C167" s="15" t="s">
        <v>40</v>
      </c>
      <c r="D167" s="19"/>
      <c r="E167" s="15" t="s">
        <v>51</v>
      </c>
      <c r="F167" s="18"/>
      <c r="G167" s="155">
        <v>7</v>
      </c>
      <c r="H167" s="182"/>
      <c r="I167" s="12"/>
      <c r="J167" s="27"/>
      <c r="K167" s="15" t="s">
        <v>61</v>
      </c>
      <c r="L167" s="11"/>
      <c r="M167" s="33"/>
      <c r="N167" s="34"/>
      <c r="O167" s="15" t="s">
        <v>61</v>
      </c>
      <c r="P167" s="11"/>
      <c r="Q167" s="33"/>
      <c r="R167" s="34"/>
      <c r="S167" s="15" t="s">
        <v>61</v>
      </c>
      <c r="T167" s="11"/>
      <c r="U167" s="33"/>
      <c r="V167" s="38"/>
      <c r="W167" s="346"/>
      <c r="X167" s="342"/>
      <c r="Y167" s="342"/>
      <c r="Z167" s="342"/>
      <c r="AA167" s="342"/>
      <c r="AB167" s="344"/>
      <c r="AC167" s="346"/>
      <c r="AD167" s="342"/>
      <c r="AE167" s="342"/>
      <c r="AF167" s="342"/>
      <c r="AG167" s="342"/>
      <c r="AH167" s="344"/>
      <c r="AI167" s="346"/>
      <c r="AJ167" s="342"/>
      <c r="AK167" s="344"/>
      <c r="AL167" s="337"/>
      <c r="AM167" s="54" t="s">
        <v>98</v>
      </c>
      <c r="AN167" s="56"/>
      <c r="AO167" s="54" t="s">
        <v>13</v>
      </c>
      <c r="AP167" s="59"/>
      <c r="AQ167" s="337"/>
      <c r="AR167" s="54" t="s">
        <v>98</v>
      </c>
      <c r="AS167" s="56"/>
      <c r="AT167" s="54" t="s">
        <v>13</v>
      </c>
      <c r="AU167" s="59"/>
    </row>
    <row r="168" spans="1:47" ht="16.5" customHeight="1">
      <c r="A168" s="329"/>
      <c r="B168" s="330"/>
      <c r="C168" s="15" t="s">
        <v>41</v>
      </c>
      <c r="D168" s="19"/>
      <c r="E168" s="15" t="s">
        <v>52</v>
      </c>
      <c r="F168" s="18"/>
      <c r="G168" s="155">
        <v>8</v>
      </c>
      <c r="H168" s="185"/>
      <c r="I168" s="25"/>
      <c r="J168" s="29"/>
      <c r="K168" s="15" t="s">
        <v>62</v>
      </c>
      <c r="L168" s="11"/>
      <c r="M168" s="33"/>
      <c r="N168" s="34"/>
      <c r="O168" s="15" t="s">
        <v>62</v>
      </c>
      <c r="P168" s="11"/>
      <c r="Q168" s="33"/>
      <c r="R168" s="34"/>
      <c r="S168" s="15" t="s">
        <v>62</v>
      </c>
      <c r="T168" s="11"/>
      <c r="U168" s="33"/>
      <c r="V168" s="38"/>
      <c r="W168" s="346"/>
      <c r="X168" s="342"/>
      <c r="Y168" s="342"/>
      <c r="Z168" s="342"/>
      <c r="AA168" s="342"/>
      <c r="AB168" s="344"/>
      <c r="AC168" s="346"/>
      <c r="AD168" s="342"/>
      <c r="AE168" s="342"/>
      <c r="AF168" s="342"/>
      <c r="AG168" s="342"/>
      <c r="AH168" s="344"/>
      <c r="AI168" s="356"/>
      <c r="AJ168" s="343"/>
      <c r="AK168" s="345"/>
      <c r="AL168" s="337"/>
      <c r="AM168" s="54" t="s">
        <v>99</v>
      </c>
      <c r="AN168" s="57"/>
      <c r="AO168" s="54" t="s">
        <v>13</v>
      </c>
      <c r="AP168" s="60"/>
      <c r="AQ168" s="337"/>
      <c r="AR168" s="54" t="s">
        <v>99</v>
      </c>
      <c r="AS168" s="57"/>
      <c r="AT168" s="54" t="s">
        <v>13</v>
      </c>
      <c r="AU168" s="60"/>
    </row>
    <row r="169" spans="1:47" ht="16.5" customHeight="1">
      <c r="A169" s="329"/>
      <c r="B169" s="330"/>
      <c r="C169" s="15" t="s">
        <v>42</v>
      </c>
      <c r="D169" s="19"/>
      <c r="E169" s="16" t="s">
        <v>53</v>
      </c>
      <c r="F169" s="22"/>
      <c r="G169" s="160"/>
      <c r="H169" s="186"/>
      <c r="I169" s="161"/>
      <c r="J169" s="161"/>
      <c r="K169" s="15" t="s">
        <v>63</v>
      </c>
      <c r="L169" s="11"/>
      <c r="M169" s="33"/>
      <c r="N169" s="34"/>
      <c r="O169" s="15" t="s">
        <v>63</v>
      </c>
      <c r="P169" s="11"/>
      <c r="Q169" s="33"/>
      <c r="R169" s="34"/>
      <c r="S169" s="15" t="s">
        <v>63</v>
      </c>
      <c r="T169" s="11"/>
      <c r="U169" s="33"/>
      <c r="V169" s="38"/>
      <c r="W169" s="356"/>
      <c r="X169" s="343"/>
      <c r="Y169" s="343"/>
      <c r="Z169" s="343"/>
      <c r="AA169" s="343"/>
      <c r="AB169" s="345"/>
      <c r="AC169" s="356"/>
      <c r="AD169" s="343"/>
      <c r="AE169" s="343"/>
      <c r="AF169" s="343"/>
      <c r="AG169" s="343"/>
      <c r="AH169" s="345"/>
      <c r="AI169" s="172"/>
      <c r="AJ169" s="173"/>
      <c r="AK169" s="174"/>
      <c r="AL169" s="338"/>
      <c r="AM169" s="55" t="s">
        <v>100</v>
      </c>
      <c r="AN169" s="58"/>
      <c r="AO169" s="55" t="s">
        <v>101</v>
      </c>
      <c r="AP169" s="61"/>
      <c r="AQ169" s="338"/>
      <c r="AR169" s="55" t="s">
        <v>100</v>
      </c>
      <c r="AS169" s="58"/>
      <c r="AT169" s="55" t="s">
        <v>101</v>
      </c>
      <c r="AU169" s="61"/>
    </row>
    <row r="170" spans="1:47" ht="16.5" customHeight="1">
      <c r="A170" s="329"/>
      <c r="B170" s="330"/>
      <c r="C170" s="16" t="s">
        <v>43</v>
      </c>
      <c r="D170" s="21"/>
      <c r="E170" s="189" t="s">
        <v>293</v>
      </c>
      <c r="F170" s="190" t="s">
        <v>186</v>
      </c>
      <c r="G170" s="162"/>
      <c r="H170" s="187"/>
      <c r="I170" s="163"/>
      <c r="J170" s="163"/>
      <c r="K170" s="30" t="s">
        <v>64</v>
      </c>
      <c r="L170" s="24"/>
      <c r="M170" s="35"/>
      <c r="N170" s="36"/>
      <c r="O170" s="30" t="s">
        <v>64</v>
      </c>
      <c r="P170" s="24"/>
      <c r="Q170" s="35"/>
      <c r="R170" s="36"/>
      <c r="S170" s="30" t="s">
        <v>64</v>
      </c>
      <c r="T170" s="24"/>
      <c r="U170" s="35"/>
      <c r="V170" s="39"/>
      <c r="W170" s="156"/>
      <c r="X170" s="157"/>
      <c r="Y170" s="165"/>
      <c r="Z170" s="165"/>
      <c r="AA170" s="166"/>
      <c r="AB170" s="167"/>
      <c r="AC170" s="168"/>
      <c r="AD170" s="169"/>
      <c r="AE170" s="170"/>
      <c r="AF170" s="170"/>
      <c r="AG170" s="170"/>
      <c r="AH170" s="171"/>
      <c r="AI170" s="168"/>
      <c r="AJ170" s="169"/>
      <c r="AK170" s="171"/>
      <c r="AL170" s="175"/>
      <c r="AM170" s="158"/>
      <c r="AN170" s="158"/>
      <c r="AO170" s="158"/>
      <c r="AP170" s="159"/>
      <c r="AQ170" s="175"/>
      <c r="AR170" s="158"/>
      <c r="AS170" s="158"/>
      <c r="AT170" s="158"/>
      <c r="AU170" s="159"/>
    </row>
    <row r="171" spans="1:47" ht="16.5" customHeight="1"/>
    <row r="172" spans="1:47" ht="16.5" customHeight="1">
      <c r="A172" s="329">
        <v>15</v>
      </c>
      <c r="B172" s="330" t="s">
        <v>263</v>
      </c>
      <c r="C172" s="14" t="s">
        <v>45</v>
      </c>
      <c r="D172" s="52"/>
      <c r="E172" s="14" t="s">
        <v>46</v>
      </c>
      <c r="F172" s="17"/>
      <c r="G172" s="149">
        <v>6</v>
      </c>
      <c r="H172" s="181"/>
      <c r="I172" s="10"/>
      <c r="J172" s="26"/>
      <c r="K172" s="14" t="s">
        <v>54</v>
      </c>
      <c r="L172" s="9"/>
      <c r="M172" s="31"/>
      <c r="N172" s="32"/>
      <c r="O172" s="14" t="s">
        <v>54</v>
      </c>
      <c r="P172" s="9"/>
      <c r="Q172" s="31"/>
      <c r="R172" s="32"/>
      <c r="S172" s="14" t="s">
        <v>54</v>
      </c>
      <c r="T172" s="9"/>
      <c r="U172" s="31"/>
      <c r="V172" s="37"/>
      <c r="W172" s="353"/>
      <c r="X172" s="354"/>
      <c r="Y172" s="354"/>
      <c r="Z172" s="354"/>
      <c r="AA172" s="354"/>
      <c r="AB172" s="355"/>
      <c r="AC172" s="353"/>
      <c r="AD172" s="354"/>
      <c r="AE172" s="354"/>
      <c r="AF172" s="354"/>
      <c r="AG172" s="354"/>
      <c r="AH172" s="355"/>
      <c r="AI172" s="353">
        <v>6</v>
      </c>
      <c r="AJ172" s="354"/>
      <c r="AK172" s="355"/>
      <c r="AL172" s="336">
        <v>1</v>
      </c>
      <c r="AM172" s="53" t="s">
        <v>0</v>
      </c>
      <c r="AN172" s="339"/>
      <c r="AO172" s="340"/>
      <c r="AP172" s="341"/>
      <c r="AQ172" s="336">
        <v>3</v>
      </c>
      <c r="AR172" s="53" t="s">
        <v>0</v>
      </c>
      <c r="AS172" s="339"/>
      <c r="AT172" s="340"/>
      <c r="AU172" s="341"/>
    </row>
    <row r="173" spans="1:47" ht="16.5" customHeight="1">
      <c r="A173" s="329"/>
      <c r="B173" s="330"/>
      <c r="C173" s="15" t="s">
        <v>36</v>
      </c>
      <c r="D173" s="19"/>
      <c r="E173" s="15" t="s">
        <v>73</v>
      </c>
      <c r="F173" s="18"/>
      <c r="G173" s="150">
        <v>7</v>
      </c>
      <c r="H173" s="182"/>
      <c r="I173" s="12"/>
      <c r="J173" s="27"/>
      <c r="K173" s="15" t="s">
        <v>55</v>
      </c>
      <c r="L173" s="11"/>
      <c r="M173" s="33"/>
      <c r="N173" s="34"/>
      <c r="O173" s="15" t="s">
        <v>55</v>
      </c>
      <c r="P173" s="11"/>
      <c r="Q173" s="33"/>
      <c r="R173" s="34"/>
      <c r="S173" s="15" t="s">
        <v>55</v>
      </c>
      <c r="T173" s="11"/>
      <c r="U173" s="33"/>
      <c r="V173" s="38"/>
      <c r="W173" s="346"/>
      <c r="X173" s="342"/>
      <c r="Y173" s="342"/>
      <c r="Z173" s="342"/>
      <c r="AA173" s="342"/>
      <c r="AB173" s="344"/>
      <c r="AC173" s="346"/>
      <c r="AD173" s="342"/>
      <c r="AE173" s="342"/>
      <c r="AF173" s="342"/>
      <c r="AG173" s="342"/>
      <c r="AH173" s="344"/>
      <c r="AI173" s="346"/>
      <c r="AJ173" s="342"/>
      <c r="AK173" s="344"/>
      <c r="AL173" s="337"/>
      <c r="AM173" s="54" t="s">
        <v>97</v>
      </c>
      <c r="AN173" s="176"/>
      <c r="AO173" s="54" t="s">
        <v>212</v>
      </c>
      <c r="AP173" s="178"/>
      <c r="AQ173" s="337"/>
      <c r="AR173" s="54" t="s">
        <v>97</v>
      </c>
      <c r="AS173" s="176"/>
      <c r="AT173" s="179" t="s">
        <v>212</v>
      </c>
      <c r="AU173" s="177"/>
    </row>
    <row r="174" spans="1:47" ht="16.5" customHeight="1">
      <c r="A174" s="329"/>
      <c r="B174" s="330"/>
      <c r="C174" s="15" t="s">
        <v>37</v>
      </c>
      <c r="D174" s="20"/>
      <c r="E174" s="15" t="s">
        <v>47</v>
      </c>
      <c r="F174" s="18"/>
      <c r="G174" s="150">
        <v>8</v>
      </c>
      <c r="H174" s="183"/>
      <c r="I174" s="13"/>
      <c r="J174" s="28"/>
      <c r="K174" s="15" t="s">
        <v>56</v>
      </c>
      <c r="L174" s="11"/>
      <c r="M174" s="33"/>
      <c r="N174" s="34"/>
      <c r="O174" s="15" t="s">
        <v>56</v>
      </c>
      <c r="P174" s="11"/>
      <c r="Q174" s="33"/>
      <c r="R174" s="34"/>
      <c r="S174" s="15" t="s">
        <v>56</v>
      </c>
      <c r="T174" s="11"/>
      <c r="U174" s="33"/>
      <c r="V174" s="38"/>
      <c r="W174" s="346"/>
      <c r="X174" s="342"/>
      <c r="Y174" s="342"/>
      <c r="Z174" s="342"/>
      <c r="AA174" s="342"/>
      <c r="AB174" s="344"/>
      <c r="AC174" s="346"/>
      <c r="AD174" s="342"/>
      <c r="AE174" s="342"/>
      <c r="AF174" s="342"/>
      <c r="AG174" s="342"/>
      <c r="AH174" s="344"/>
      <c r="AI174" s="346"/>
      <c r="AJ174" s="342"/>
      <c r="AK174" s="344"/>
      <c r="AL174" s="337"/>
      <c r="AM174" s="54" t="s">
        <v>98</v>
      </c>
      <c r="AN174" s="56"/>
      <c r="AO174" s="54" t="s">
        <v>13</v>
      </c>
      <c r="AP174" s="59"/>
      <c r="AQ174" s="337"/>
      <c r="AR174" s="54" t="s">
        <v>98</v>
      </c>
      <c r="AS174" s="56"/>
      <c r="AT174" s="54" t="s">
        <v>13</v>
      </c>
      <c r="AU174" s="59"/>
    </row>
    <row r="175" spans="1:47" ht="16.5" customHeight="1">
      <c r="A175" s="329"/>
      <c r="B175" s="330"/>
      <c r="C175" s="15" t="s">
        <v>44</v>
      </c>
      <c r="D175" s="19"/>
      <c r="E175" s="15" t="s">
        <v>65</v>
      </c>
      <c r="F175" s="18"/>
      <c r="G175" s="153"/>
      <c r="H175" s="184"/>
      <c r="I175" s="23"/>
      <c r="J175" s="23"/>
      <c r="K175" s="15" t="s">
        <v>57</v>
      </c>
      <c r="L175" s="11"/>
      <c r="M175" s="33"/>
      <c r="N175" s="34"/>
      <c r="O175" s="15" t="s">
        <v>57</v>
      </c>
      <c r="P175" s="11"/>
      <c r="Q175" s="33"/>
      <c r="R175" s="34"/>
      <c r="S175" s="15" t="s">
        <v>57</v>
      </c>
      <c r="T175" s="11"/>
      <c r="U175" s="33"/>
      <c r="V175" s="38"/>
      <c r="W175" s="346"/>
      <c r="X175" s="342"/>
      <c r="Y175" s="342"/>
      <c r="Z175" s="342"/>
      <c r="AA175" s="342"/>
      <c r="AB175" s="344"/>
      <c r="AC175" s="346"/>
      <c r="AD175" s="342"/>
      <c r="AE175" s="342"/>
      <c r="AF175" s="342"/>
      <c r="AG175" s="342"/>
      <c r="AH175" s="344"/>
      <c r="AI175" s="346">
        <v>7</v>
      </c>
      <c r="AJ175" s="342"/>
      <c r="AK175" s="344"/>
      <c r="AL175" s="337"/>
      <c r="AM175" s="54" t="s">
        <v>99</v>
      </c>
      <c r="AN175" s="57"/>
      <c r="AO175" s="54" t="s">
        <v>13</v>
      </c>
      <c r="AP175" s="60"/>
      <c r="AQ175" s="337"/>
      <c r="AR175" s="54" t="s">
        <v>99</v>
      </c>
      <c r="AS175" s="57"/>
      <c r="AT175" s="54" t="s">
        <v>13</v>
      </c>
      <c r="AU175" s="60"/>
    </row>
    <row r="176" spans="1:47" ht="16.5" customHeight="1">
      <c r="A176" s="329"/>
      <c r="B176" s="330"/>
      <c r="C176" s="15" t="s">
        <v>229</v>
      </c>
      <c r="D176" s="4"/>
      <c r="E176" s="15" t="s">
        <v>48</v>
      </c>
      <c r="F176" s="18"/>
      <c r="G176" s="331" t="s">
        <v>12</v>
      </c>
      <c r="H176" s="332"/>
      <c r="I176" s="332"/>
      <c r="J176" s="332"/>
      <c r="K176" s="15" t="s">
        <v>58</v>
      </c>
      <c r="L176" s="11"/>
      <c r="M176" s="33"/>
      <c r="N176" s="34"/>
      <c r="O176" s="15" t="s">
        <v>58</v>
      </c>
      <c r="P176" s="11"/>
      <c r="Q176" s="33"/>
      <c r="R176" s="34"/>
      <c r="S176" s="15" t="s">
        <v>58</v>
      </c>
      <c r="T176" s="11"/>
      <c r="U176" s="33"/>
      <c r="V176" s="38"/>
      <c r="W176" s="346"/>
      <c r="X176" s="342"/>
      <c r="Y176" s="342"/>
      <c r="Z176" s="342"/>
      <c r="AA176" s="342"/>
      <c r="AB176" s="344"/>
      <c r="AC176" s="346"/>
      <c r="AD176" s="342"/>
      <c r="AE176" s="342"/>
      <c r="AF176" s="342"/>
      <c r="AG176" s="342"/>
      <c r="AH176" s="344"/>
      <c r="AI176" s="346"/>
      <c r="AJ176" s="342"/>
      <c r="AK176" s="344"/>
      <c r="AL176" s="338"/>
      <c r="AM176" s="55" t="s">
        <v>100</v>
      </c>
      <c r="AN176" s="58"/>
      <c r="AO176" s="55" t="s">
        <v>101</v>
      </c>
      <c r="AP176" s="61"/>
      <c r="AQ176" s="338"/>
      <c r="AR176" s="55" t="s">
        <v>100</v>
      </c>
      <c r="AS176" s="58"/>
      <c r="AT176" s="55" t="s">
        <v>101</v>
      </c>
      <c r="AU176" s="61"/>
    </row>
    <row r="177" spans="1:47" ht="16.5" customHeight="1">
      <c r="A177" s="329"/>
      <c r="B177" s="330"/>
      <c r="C177" s="15" t="s">
        <v>38</v>
      </c>
      <c r="D177" s="19"/>
      <c r="E177" s="15" t="s">
        <v>49</v>
      </c>
      <c r="F177" s="18"/>
      <c r="G177" s="8" t="s">
        <v>13</v>
      </c>
      <c r="H177" s="180" t="s">
        <v>14</v>
      </c>
      <c r="I177" s="6" t="s">
        <v>15</v>
      </c>
      <c r="J177" s="6" t="s">
        <v>16</v>
      </c>
      <c r="K177" s="15" t="s">
        <v>59</v>
      </c>
      <c r="L177" s="11"/>
      <c r="M177" s="33"/>
      <c r="N177" s="34"/>
      <c r="O177" s="15" t="s">
        <v>59</v>
      </c>
      <c r="P177" s="11"/>
      <c r="Q177" s="33"/>
      <c r="R177" s="34"/>
      <c r="S177" s="15" t="s">
        <v>59</v>
      </c>
      <c r="T177" s="11"/>
      <c r="U177" s="33"/>
      <c r="V177" s="38"/>
      <c r="W177" s="346"/>
      <c r="X177" s="342"/>
      <c r="Y177" s="342"/>
      <c r="Z177" s="342"/>
      <c r="AA177" s="342"/>
      <c r="AB177" s="344"/>
      <c r="AC177" s="346"/>
      <c r="AD177" s="342"/>
      <c r="AE177" s="342"/>
      <c r="AF177" s="342"/>
      <c r="AG177" s="342"/>
      <c r="AH177" s="344"/>
      <c r="AI177" s="346"/>
      <c r="AJ177" s="342"/>
      <c r="AK177" s="344"/>
      <c r="AL177" s="336">
        <v>2</v>
      </c>
      <c r="AM177" s="53" t="s">
        <v>0</v>
      </c>
      <c r="AN177" s="339"/>
      <c r="AO177" s="340"/>
      <c r="AP177" s="341"/>
      <c r="AQ177" s="336">
        <v>4</v>
      </c>
      <c r="AR177" s="53" t="s">
        <v>0</v>
      </c>
      <c r="AS177" s="339"/>
      <c r="AT177" s="340"/>
      <c r="AU177" s="341"/>
    </row>
    <row r="178" spans="1:47" ht="16.5" customHeight="1">
      <c r="A178" s="329"/>
      <c r="B178" s="330"/>
      <c r="C178" s="15" t="s">
        <v>39</v>
      </c>
      <c r="D178" s="19"/>
      <c r="E178" s="15" t="s">
        <v>50</v>
      </c>
      <c r="F178" s="18"/>
      <c r="G178" s="154">
        <v>6</v>
      </c>
      <c r="H178" s="181"/>
      <c r="I178" s="10"/>
      <c r="J178" s="26"/>
      <c r="K178" s="15" t="s">
        <v>60</v>
      </c>
      <c r="L178" s="11"/>
      <c r="M178" s="33"/>
      <c r="N178" s="34"/>
      <c r="O178" s="15" t="s">
        <v>60</v>
      </c>
      <c r="P178" s="11"/>
      <c r="Q178" s="33"/>
      <c r="R178" s="34"/>
      <c r="S178" s="15" t="s">
        <v>60</v>
      </c>
      <c r="T178" s="11"/>
      <c r="U178" s="33"/>
      <c r="V178" s="38"/>
      <c r="W178" s="346"/>
      <c r="X178" s="342"/>
      <c r="Y178" s="342"/>
      <c r="Z178" s="342"/>
      <c r="AA178" s="342"/>
      <c r="AB178" s="344"/>
      <c r="AC178" s="346"/>
      <c r="AD178" s="342"/>
      <c r="AE178" s="342"/>
      <c r="AF178" s="342"/>
      <c r="AG178" s="342"/>
      <c r="AH178" s="344"/>
      <c r="AI178" s="346">
        <v>8</v>
      </c>
      <c r="AJ178" s="342"/>
      <c r="AK178" s="344"/>
      <c r="AL178" s="337"/>
      <c r="AM178" s="54" t="s">
        <v>97</v>
      </c>
      <c r="AN178" s="176"/>
      <c r="AO178" s="179" t="s">
        <v>212</v>
      </c>
      <c r="AP178" s="177"/>
      <c r="AQ178" s="337"/>
      <c r="AR178" s="54" t="s">
        <v>97</v>
      </c>
      <c r="AS178" s="176"/>
      <c r="AT178" s="179" t="s">
        <v>212</v>
      </c>
      <c r="AU178" s="177"/>
    </row>
    <row r="179" spans="1:47" ht="16.5" customHeight="1">
      <c r="A179" s="329"/>
      <c r="B179" s="330"/>
      <c r="C179" s="15" t="s">
        <v>40</v>
      </c>
      <c r="D179" s="19"/>
      <c r="E179" s="15" t="s">
        <v>51</v>
      </c>
      <c r="F179" s="18"/>
      <c r="G179" s="155">
        <v>7</v>
      </c>
      <c r="H179" s="182"/>
      <c r="I179" s="12"/>
      <c r="J179" s="27"/>
      <c r="K179" s="15" t="s">
        <v>61</v>
      </c>
      <c r="L179" s="11"/>
      <c r="M179" s="33"/>
      <c r="N179" s="34"/>
      <c r="O179" s="15" t="s">
        <v>61</v>
      </c>
      <c r="P179" s="11"/>
      <c r="Q179" s="33"/>
      <c r="R179" s="34"/>
      <c r="S179" s="15" t="s">
        <v>61</v>
      </c>
      <c r="T179" s="11"/>
      <c r="U179" s="33"/>
      <c r="V179" s="38"/>
      <c r="W179" s="346"/>
      <c r="X179" s="342"/>
      <c r="Y179" s="342"/>
      <c r="Z179" s="342"/>
      <c r="AA179" s="342"/>
      <c r="AB179" s="344"/>
      <c r="AC179" s="346"/>
      <c r="AD179" s="342"/>
      <c r="AE179" s="342"/>
      <c r="AF179" s="342"/>
      <c r="AG179" s="342"/>
      <c r="AH179" s="344"/>
      <c r="AI179" s="346"/>
      <c r="AJ179" s="342"/>
      <c r="AK179" s="344"/>
      <c r="AL179" s="337"/>
      <c r="AM179" s="54" t="s">
        <v>98</v>
      </c>
      <c r="AN179" s="56"/>
      <c r="AO179" s="54" t="s">
        <v>13</v>
      </c>
      <c r="AP179" s="59"/>
      <c r="AQ179" s="337"/>
      <c r="AR179" s="54" t="s">
        <v>98</v>
      </c>
      <c r="AS179" s="56"/>
      <c r="AT179" s="54" t="s">
        <v>13</v>
      </c>
      <c r="AU179" s="59"/>
    </row>
    <row r="180" spans="1:47" ht="16.5" customHeight="1">
      <c r="A180" s="329"/>
      <c r="B180" s="330"/>
      <c r="C180" s="15" t="s">
        <v>41</v>
      </c>
      <c r="D180" s="19"/>
      <c r="E180" s="15" t="s">
        <v>52</v>
      </c>
      <c r="F180" s="18"/>
      <c r="G180" s="155">
        <v>8</v>
      </c>
      <c r="H180" s="185"/>
      <c r="I180" s="25"/>
      <c r="J180" s="29"/>
      <c r="K180" s="15" t="s">
        <v>62</v>
      </c>
      <c r="L180" s="11"/>
      <c r="M180" s="33"/>
      <c r="N180" s="34"/>
      <c r="O180" s="15" t="s">
        <v>62</v>
      </c>
      <c r="P180" s="11"/>
      <c r="Q180" s="33"/>
      <c r="R180" s="34"/>
      <c r="S180" s="15" t="s">
        <v>62</v>
      </c>
      <c r="T180" s="11"/>
      <c r="U180" s="33"/>
      <c r="V180" s="38"/>
      <c r="W180" s="346"/>
      <c r="X180" s="342"/>
      <c r="Y180" s="342"/>
      <c r="Z180" s="342"/>
      <c r="AA180" s="342"/>
      <c r="AB180" s="344"/>
      <c r="AC180" s="346"/>
      <c r="AD180" s="342"/>
      <c r="AE180" s="342"/>
      <c r="AF180" s="342"/>
      <c r="AG180" s="342"/>
      <c r="AH180" s="344"/>
      <c r="AI180" s="356"/>
      <c r="AJ180" s="343"/>
      <c r="AK180" s="345"/>
      <c r="AL180" s="337"/>
      <c r="AM180" s="54" t="s">
        <v>99</v>
      </c>
      <c r="AN180" s="57"/>
      <c r="AO180" s="54" t="s">
        <v>13</v>
      </c>
      <c r="AP180" s="60"/>
      <c r="AQ180" s="337"/>
      <c r="AR180" s="54" t="s">
        <v>99</v>
      </c>
      <c r="AS180" s="57"/>
      <c r="AT180" s="54" t="s">
        <v>13</v>
      </c>
      <c r="AU180" s="60"/>
    </row>
    <row r="181" spans="1:47" ht="16.5" customHeight="1">
      <c r="A181" s="329"/>
      <c r="B181" s="330"/>
      <c r="C181" s="15" t="s">
        <v>42</v>
      </c>
      <c r="D181" s="19"/>
      <c r="E181" s="16" t="s">
        <v>53</v>
      </c>
      <c r="F181" s="22"/>
      <c r="G181" s="160"/>
      <c r="H181" s="186"/>
      <c r="I181" s="161"/>
      <c r="J181" s="161"/>
      <c r="K181" s="15" t="s">
        <v>63</v>
      </c>
      <c r="L181" s="11"/>
      <c r="M181" s="33"/>
      <c r="N181" s="34"/>
      <c r="O181" s="15" t="s">
        <v>63</v>
      </c>
      <c r="P181" s="11"/>
      <c r="Q181" s="33"/>
      <c r="R181" s="34"/>
      <c r="S181" s="15" t="s">
        <v>63</v>
      </c>
      <c r="T181" s="11"/>
      <c r="U181" s="33"/>
      <c r="V181" s="38"/>
      <c r="W181" s="356"/>
      <c r="X181" s="343"/>
      <c r="Y181" s="343"/>
      <c r="Z181" s="343"/>
      <c r="AA181" s="343"/>
      <c r="AB181" s="345"/>
      <c r="AC181" s="356"/>
      <c r="AD181" s="343"/>
      <c r="AE181" s="343"/>
      <c r="AF181" s="343"/>
      <c r="AG181" s="343"/>
      <c r="AH181" s="345"/>
      <c r="AI181" s="172"/>
      <c r="AJ181" s="173"/>
      <c r="AK181" s="174"/>
      <c r="AL181" s="338"/>
      <c r="AM181" s="55" t="s">
        <v>100</v>
      </c>
      <c r="AN181" s="58"/>
      <c r="AO181" s="55" t="s">
        <v>101</v>
      </c>
      <c r="AP181" s="61"/>
      <c r="AQ181" s="338"/>
      <c r="AR181" s="55" t="s">
        <v>100</v>
      </c>
      <c r="AS181" s="58"/>
      <c r="AT181" s="55" t="s">
        <v>101</v>
      </c>
      <c r="AU181" s="61"/>
    </row>
    <row r="182" spans="1:47" ht="16.5" customHeight="1">
      <c r="A182" s="329"/>
      <c r="B182" s="330"/>
      <c r="C182" s="16" t="s">
        <v>43</v>
      </c>
      <c r="D182" s="21"/>
      <c r="E182" s="189" t="s">
        <v>293</v>
      </c>
      <c r="F182" s="190" t="s">
        <v>186</v>
      </c>
      <c r="G182" s="162"/>
      <c r="H182" s="187"/>
      <c r="I182" s="163"/>
      <c r="J182" s="163"/>
      <c r="K182" s="30" t="s">
        <v>64</v>
      </c>
      <c r="L182" s="24"/>
      <c r="M182" s="35"/>
      <c r="N182" s="36"/>
      <c r="O182" s="30" t="s">
        <v>64</v>
      </c>
      <c r="P182" s="24"/>
      <c r="Q182" s="35"/>
      <c r="R182" s="36"/>
      <c r="S182" s="30" t="s">
        <v>64</v>
      </c>
      <c r="T182" s="24"/>
      <c r="U182" s="35"/>
      <c r="V182" s="39"/>
      <c r="W182" s="156"/>
      <c r="X182" s="157"/>
      <c r="Y182" s="165"/>
      <c r="Z182" s="165"/>
      <c r="AA182" s="166"/>
      <c r="AB182" s="167"/>
      <c r="AC182" s="168"/>
      <c r="AD182" s="169"/>
      <c r="AE182" s="170"/>
      <c r="AF182" s="170"/>
      <c r="AG182" s="170"/>
      <c r="AH182" s="171"/>
      <c r="AI182" s="168"/>
      <c r="AJ182" s="169"/>
      <c r="AK182" s="171"/>
      <c r="AL182" s="175"/>
      <c r="AM182" s="158"/>
      <c r="AN182" s="158"/>
      <c r="AO182" s="158"/>
      <c r="AP182" s="159"/>
      <c r="AQ182" s="175"/>
      <c r="AR182" s="158"/>
      <c r="AS182" s="158"/>
      <c r="AT182" s="158"/>
      <c r="AU182" s="159"/>
    </row>
    <row r="183" spans="1:47" ht="16.5" customHeight="1"/>
    <row r="184" spans="1:47" ht="16.5" customHeight="1">
      <c r="A184" s="329">
        <v>16</v>
      </c>
      <c r="B184" s="330" t="s">
        <v>264</v>
      </c>
      <c r="C184" s="14" t="s">
        <v>45</v>
      </c>
      <c r="D184" s="52"/>
      <c r="E184" s="14" t="s">
        <v>46</v>
      </c>
      <c r="F184" s="17"/>
      <c r="G184" s="149">
        <v>6</v>
      </c>
      <c r="H184" s="181"/>
      <c r="I184" s="10"/>
      <c r="J184" s="26"/>
      <c r="K184" s="14" t="s">
        <v>54</v>
      </c>
      <c r="L184" s="9"/>
      <c r="M184" s="31"/>
      <c r="N184" s="32"/>
      <c r="O184" s="14" t="s">
        <v>54</v>
      </c>
      <c r="P184" s="9"/>
      <c r="Q184" s="31"/>
      <c r="R184" s="32"/>
      <c r="S184" s="14" t="s">
        <v>54</v>
      </c>
      <c r="T184" s="9"/>
      <c r="U184" s="31"/>
      <c r="V184" s="37"/>
      <c r="W184" s="353"/>
      <c r="X184" s="354"/>
      <c r="Y184" s="354"/>
      <c r="Z184" s="354"/>
      <c r="AA184" s="354"/>
      <c r="AB184" s="355"/>
      <c r="AC184" s="353"/>
      <c r="AD184" s="354"/>
      <c r="AE184" s="354"/>
      <c r="AF184" s="354"/>
      <c r="AG184" s="354"/>
      <c r="AH184" s="355"/>
      <c r="AI184" s="353">
        <v>6</v>
      </c>
      <c r="AJ184" s="354"/>
      <c r="AK184" s="355"/>
      <c r="AL184" s="336">
        <v>1</v>
      </c>
      <c r="AM184" s="53" t="s">
        <v>0</v>
      </c>
      <c r="AN184" s="339"/>
      <c r="AO184" s="340"/>
      <c r="AP184" s="341"/>
      <c r="AQ184" s="336">
        <v>3</v>
      </c>
      <c r="AR184" s="53" t="s">
        <v>0</v>
      </c>
      <c r="AS184" s="339"/>
      <c r="AT184" s="340"/>
      <c r="AU184" s="341"/>
    </row>
    <row r="185" spans="1:47" ht="16.5" customHeight="1">
      <c r="A185" s="329"/>
      <c r="B185" s="330"/>
      <c r="C185" s="15" t="s">
        <v>36</v>
      </c>
      <c r="D185" s="19"/>
      <c r="E185" s="15" t="s">
        <v>73</v>
      </c>
      <c r="F185" s="18"/>
      <c r="G185" s="150">
        <v>7</v>
      </c>
      <c r="H185" s="182"/>
      <c r="I185" s="12"/>
      <c r="J185" s="27"/>
      <c r="K185" s="15" t="s">
        <v>55</v>
      </c>
      <c r="L185" s="11"/>
      <c r="M185" s="33"/>
      <c r="N185" s="34"/>
      <c r="O185" s="15" t="s">
        <v>55</v>
      </c>
      <c r="P185" s="11"/>
      <c r="Q185" s="33"/>
      <c r="R185" s="34"/>
      <c r="S185" s="15" t="s">
        <v>55</v>
      </c>
      <c r="T185" s="11"/>
      <c r="U185" s="33"/>
      <c r="V185" s="38"/>
      <c r="W185" s="346"/>
      <c r="X185" s="342"/>
      <c r="Y185" s="342"/>
      <c r="Z185" s="342"/>
      <c r="AA185" s="342"/>
      <c r="AB185" s="344"/>
      <c r="AC185" s="346"/>
      <c r="AD185" s="342"/>
      <c r="AE185" s="342"/>
      <c r="AF185" s="342"/>
      <c r="AG185" s="342"/>
      <c r="AH185" s="344"/>
      <c r="AI185" s="346"/>
      <c r="AJ185" s="342"/>
      <c r="AK185" s="344"/>
      <c r="AL185" s="337"/>
      <c r="AM185" s="54" t="s">
        <v>97</v>
      </c>
      <c r="AN185" s="176"/>
      <c r="AO185" s="54" t="s">
        <v>212</v>
      </c>
      <c r="AP185" s="178"/>
      <c r="AQ185" s="337"/>
      <c r="AR185" s="54" t="s">
        <v>97</v>
      </c>
      <c r="AS185" s="176"/>
      <c r="AT185" s="179" t="s">
        <v>212</v>
      </c>
      <c r="AU185" s="177"/>
    </row>
    <row r="186" spans="1:47" ht="16.5" customHeight="1">
      <c r="A186" s="329"/>
      <c r="B186" s="330"/>
      <c r="C186" s="15" t="s">
        <v>37</v>
      </c>
      <c r="D186" s="20"/>
      <c r="E186" s="15" t="s">
        <v>47</v>
      </c>
      <c r="F186" s="18"/>
      <c r="G186" s="150">
        <v>8</v>
      </c>
      <c r="H186" s="183"/>
      <c r="I186" s="13"/>
      <c r="J186" s="28"/>
      <c r="K186" s="15" t="s">
        <v>56</v>
      </c>
      <c r="L186" s="11"/>
      <c r="M186" s="33"/>
      <c r="N186" s="34"/>
      <c r="O186" s="15" t="s">
        <v>56</v>
      </c>
      <c r="P186" s="11"/>
      <c r="Q186" s="33"/>
      <c r="R186" s="34"/>
      <c r="S186" s="15" t="s">
        <v>56</v>
      </c>
      <c r="T186" s="11"/>
      <c r="U186" s="33"/>
      <c r="V186" s="38"/>
      <c r="W186" s="346"/>
      <c r="X186" s="342"/>
      <c r="Y186" s="342"/>
      <c r="Z186" s="342"/>
      <c r="AA186" s="342"/>
      <c r="AB186" s="344"/>
      <c r="AC186" s="346"/>
      <c r="AD186" s="342"/>
      <c r="AE186" s="342"/>
      <c r="AF186" s="342"/>
      <c r="AG186" s="342"/>
      <c r="AH186" s="344"/>
      <c r="AI186" s="346"/>
      <c r="AJ186" s="342"/>
      <c r="AK186" s="344"/>
      <c r="AL186" s="337"/>
      <c r="AM186" s="54" t="s">
        <v>98</v>
      </c>
      <c r="AN186" s="56"/>
      <c r="AO186" s="54" t="s">
        <v>13</v>
      </c>
      <c r="AP186" s="59"/>
      <c r="AQ186" s="337"/>
      <c r="AR186" s="54" t="s">
        <v>98</v>
      </c>
      <c r="AS186" s="56"/>
      <c r="AT186" s="54" t="s">
        <v>13</v>
      </c>
      <c r="AU186" s="59"/>
    </row>
    <row r="187" spans="1:47" ht="16.5" customHeight="1">
      <c r="A187" s="329"/>
      <c r="B187" s="330"/>
      <c r="C187" s="15" t="s">
        <v>44</v>
      </c>
      <c r="D187" s="19"/>
      <c r="E187" s="15" t="s">
        <v>65</v>
      </c>
      <c r="F187" s="18"/>
      <c r="G187" s="153"/>
      <c r="H187" s="184"/>
      <c r="I187" s="23"/>
      <c r="J187" s="23"/>
      <c r="K187" s="15" t="s">
        <v>57</v>
      </c>
      <c r="L187" s="11"/>
      <c r="M187" s="33"/>
      <c r="N187" s="34"/>
      <c r="O187" s="15" t="s">
        <v>57</v>
      </c>
      <c r="P187" s="11"/>
      <c r="Q187" s="33"/>
      <c r="R187" s="34"/>
      <c r="S187" s="15" t="s">
        <v>57</v>
      </c>
      <c r="T187" s="11"/>
      <c r="U187" s="33"/>
      <c r="V187" s="38"/>
      <c r="W187" s="346"/>
      <c r="X187" s="342"/>
      <c r="Y187" s="342"/>
      <c r="Z187" s="342"/>
      <c r="AA187" s="342"/>
      <c r="AB187" s="344"/>
      <c r="AC187" s="346"/>
      <c r="AD187" s="342"/>
      <c r="AE187" s="342"/>
      <c r="AF187" s="342"/>
      <c r="AG187" s="342"/>
      <c r="AH187" s="344"/>
      <c r="AI187" s="346">
        <v>7</v>
      </c>
      <c r="AJ187" s="342"/>
      <c r="AK187" s="344"/>
      <c r="AL187" s="337"/>
      <c r="AM187" s="54" t="s">
        <v>99</v>
      </c>
      <c r="AN187" s="57"/>
      <c r="AO187" s="54" t="s">
        <v>13</v>
      </c>
      <c r="AP187" s="60"/>
      <c r="AQ187" s="337"/>
      <c r="AR187" s="54" t="s">
        <v>99</v>
      </c>
      <c r="AS187" s="57"/>
      <c r="AT187" s="54" t="s">
        <v>13</v>
      </c>
      <c r="AU187" s="60"/>
    </row>
    <row r="188" spans="1:47" ht="16.5" customHeight="1">
      <c r="A188" s="329"/>
      <c r="B188" s="330"/>
      <c r="C188" s="15" t="s">
        <v>229</v>
      </c>
      <c r="D188" s="4"/>
      <c r="E188" s="15" t="s">
        <v>48</v>
      </c>
      <c r="F188" s="18"/>
      <c r="G188" s="331" t="s">
        <v>12</v>
      </c>
      <c r="H188" s="332"/>
      <c r="I188" s="332"/>
      <c r="J188" s="332"/>
      <c r="K188" s="15" t="s">
        <v>58</v>
      </c>
      <c r="L188" s="11"/>
      <c r="M188" s="33"/>
      <c r="N188" s="34"/>
      <c r="O188" s="15" t="s">
        <v>58</v>
      </c>
      <c r="P188" s="11"/>
      <c r="Q188" s="33"/>
      <c r="R188" s="34"/>
      <c r="S188" s="15" t="s">
        <v>58</v>
      </c>
      <c r="T188" s="11"/>
      <c r="U188" s="33"/>
      <c r="V188" s="38"/>
      <c r="W188" s="346"/>
      <c r="X188" s="342"/>
      <c r="Y188" s="342"/>
      <c r="Z188" s="342"/>
      <c r="AA188" s="342"/>
      <c r="AB188" s="344"/>
      <c r="AC188" s="346"/>
      <c r="AD188" s="342"/>
      <c r="AE188" s="342"/>
      <c r="AF188" s="342"/>
      <c r="AG188" s="342"/>
      <c r="AH188" s="344"/>
      <c r="AI188" s="346"/>
      <c r="AJ188" s="342"/>
      <c r="AK188" s="344"/>
      <c r="AL188" s="338"/>
      <c r="AM188" s="55" t="s">
        <v>100</v>
      </c>
      <c r="AN188" s="58"/>
      <c r="AO188" s="55" t="s">
        <v>101</v>
      </c>
      <c r="AP188" s="61"/>
      <c r="AQ188" s="338"/>
      <c r="AR188" s="55" t="s">
        <v>100</v>
      </c>
      <c r="AS188" s="58"/>
      <c r="AT188" s="55" t="s">
        <v>101</v>
      </c>
      <c r="AU188" s="61"/>
    </row>
    <row r="189" spans="1:47" ht="16.5" customHeight="1">
      <c r="A189" s="329"/>
      <c r="B189" s="330"/>
      <c r="C189" s="15" t="s">
        <v>38</v>
      </c>
      <c r="D189" s="19"/>
      <c r="E189" s="15" t="s">
        <v>49</v>
      </c>
      <c r="F189" s="18"/>
      <c r="G189" s="8" t="s">
        <v>13</v>
      </c>
      <c r="H189" s="180" t="s">
        <v>14</v>
      </c>
      <c r="I189" s="6" t="s">
        <v>15</v>
      </c>
      <c r="J189" s="6" t="s">
        <v>16</v>
      </c>
      <c r="K189" s="15" t="s">
        <v>59</v>
      </c>
      <c r="L189" s="11"/>
      <c r="M189" s="33"/>
      <c r="N189" s="34"/>
      <c r="O189" s="15" t="s">
        <v>59</v>
      </c>
      <c r="P189" s="11"/>
      <c r="Q189" s="33"/>
      <c r="R189" s="34"/>
      <c r="S189" s="15" t="s">
        <v>59</v>
      </c>
      <c r="T189" s="11"/>
      <c r="U189" s="33"/>
      <c r="V189" s="38"/>
      <c r="W189" s="346"/>
      <c r="X189" s="342"/>
      <c r="Y189" s="342"/>
      <c r="Z189" s="342"/>
      <c r="AA189" s="342"/>
      <c r="AB189" s="344"/>
      <c r="AC189" s="346"/>
      <c r="AD189" s="342"/>
      <c r="AE189" s="342"/>
      <c r="AF189" s="342"/>
      <c r="AG189" s="342"/>
      <c r="AH189" s="344"/>
      <c r="AI189" s="346"/>
      <c r="AJ189" s="342"/>
      <c r="AK189" s="344"/>
      <c r="AL189" s="336">
        <v>2</v>
      </c>
      <c r="AM189" s="53" t="s">
        <v>0</v>
      </c>
      <c r="AN189" s="339"/>
      <c r="AO189" s="340"/>
      <c r="AP189" s="341"/>
      <c r="AQ189" s="336">
        <v>4</v>
      </c>
      <c r="AR189" s="53" t="s">
        <v>0</v>
      </c>
      <c r="AS189" s="339"/>
      <c r="AT189" s="340"/>
      <c r="AU189" s="341"/>
    </row>
    <row r="190" spans="1:47" ht="16.5" customHeight="1">
      <c r="A190" s="329"/>
      <c r="B190" s="330"/>
      <c r="C190" s="15" t="s">
        <v>39</v>
      </c>
      <c r="D190" s="19"/>
      <c r="E190" s="15" t="s">
        <v>50</v>
      </c>
      <c r="F190" s="18"/>
      <c r="G190" s="154">
        <v>6</v>
      </c>
      <c r="H190" s="181"/>
      <c r="I190" s="10"/>
      <c r="J190" s="26"/>
      <c r="K190" s="15" t="s">
        <v>60</v>
      </c>
      <c r="L190" s="11"/>
      <c r="M190" s="33"/>
      <c r="N190" s="34"/>
      <c r="O190" s="15" t="s">
        <v>60</v>
      </c>
      <c r="P190" s="11"/>
      <c r="Q190" s="33"/>
      <c r="R190" s="34"/>
      <c r="S190" s="15" t="s">
        <v>60</v>
      </c>
      <c r="T190" s="11"/>
      <c r="U190" s="33"/>
      <c r="V190" s="38"/>
      <c r="W190" s="346"/>
      <c r="X190" s="342"/>
      <c r="Y190" s="342"/>
      <c r="Z190" s="342"/>
      <c r="AA190" s="342"/>
      <c r="AB190" s="344"/>
      <c r="AC190" s="346"/>
      <c r="AD190" s="342"/>
      <c r="AE190" s="342"/>
      <c r="AF190" s="342"/>
      <c r="AG190" s="342"/>
      <c r="AH190" s="344"/>
      <c r="AI190" s="346">
        <v>8</v>
      </c>
      <c r="AJ190" s="342"/>
      <c r="AK190" s="344"/>
      <c r="AL190" s="337"/>
      <c r="AM190" s="54" t="s">
        <v>97</v>
      </c>
      <c r="AN190" s="176"/>
      <c r="AO190" s="179" t="s">
        <v>212</v>
      </c>
      <c r="AP190" s="177"/>
      <c r="AQ190" s="337"/>
      <c r="AR190" s="54" t="s">
        <v>97</v>
      </c>
      <c r="AS190" s="176"/>
      <c r="AT190" s="179" t="s">
        <v>212</v>
      </c>
      <c r="AU190" s="177"/>
    </row>
    <row r="191" spans="1:47" ht="16.5" customHeight="1">
      <c r="A191" s="329"/>
      <c r="B191" s="330"/>
      <c r="C191" s="15" t="s">
        <v>40</v>
      </c>
      <c r="D191" s="19"/>
      <c r="E191" s="15" t="s">
        <v>51</v>
      </c>
      <c r="F191" s="18"/>
      <c r="G191" s="155">
        <v>7</v>
      </c>
      <c r="H191" s="182"/>
      <c r="I191" s="12"/>
      <c r="J191" s="27"/>
      <c r="K191" s="15" t="s">
        <v>61</v>
      </c>
      <c r="L191" s="11"/>
      <c r="M191" s="33"/>
      <c r="N191" s="34"/>
      <c r="O191" s="15" t="s">
        <v>61</v>
      </c>
      <c r="P191" s="11"/>
      <c r="Q191" s="33"/>
      <c r="R191" s="34"/>
      <c r="S191" s="15" t="s">
        <v>61</v>
      </c>
      <c r="T191" s="11"/>
      <c r="U191" s="33"/>
      <c r="V191" s="38"/>
      <c r="W191" s="346"/>
      <c r="X191" s="342"/>
      <c r="Y191" s="342"/>
      <c r="Z191" s="342"/>
      <c r="AA191" s="342"/>
      <c r="AB191" s="344"/>
      <c r="AC191" s="346"/>
      <c r="AD191" s="342"/>
      <c r="AE191" s="342"/>
      <c r="AF191" s="342"/>
      <c r="AG191" s="342"/>
      <c r="AH191" s="344"/>
      <c r="AI191" s="346"/>
      <c r="AJ191" s="342"/>
      <c r="AK191" s="344"/>
      <c r="AL191" s="337"/>
      <c r="AM191" s="54" t="s">
        <v>98</v>
      </c>
      <c r="AN191" s="56"/>
      <c r="AO191" s="54" t="s">
        <v>13</v>
      </c>
      <c r="AP191" s="59"/>
      <c r="AQ191" s="337"/>
      <c r="AR191" s="54" t="s">
        <v>98</v>
      </c>
      <c r="AS191" s="56"/>
      <c r="AT191" s="54" t="s">
        <v>13</v>
      </c>
      <c r="AU191" s="59"/>
    </row>
    <row r="192" spans="1:47" ht="16.5" customHeight="1">
      <c r="A192" s="329"/>
      <c r="B192" s="330"/>
      <c r="C192" s="15" t="s">
        <v>41</v>
      </c>
      <c r="D192" s="19"/>
      <c r="E192" s="15" t="s">
        <v>52</v>
      </c>
      <c r="F192" s="18"/>
      <c r="G192" s="155">
        <v>8</v>
      </c>
      <c r="H192" s="185"/>
      <c r="I192" s="25"/>
      <c r="J192" s="29"/>
      <c r="K192" s="15" t="s">
        <v>62</v>
      </c>
      <c r="L192" s="11"/>
      <c r="M192" s="33"/>
      <c r="N192" s="34"/>
      <c r="O192" s="15" t="s">
        <v>62</v>
      </c>
      <c r="P192" s="11"/>
      <c r="Q192" s="33"/>
      <c r="R192" s="34"/>
      <c r="S192" s="15" t="s">
        <v>62</v>
      </c>
      <c r="T192" s="11"/>
      <c r="U192" s="33"/>
      <c r="V192" s="38"/>
      <c r="W192" s="346"/>
      <c r="X192" s="342"/>
      <c r="Y192" s="342"/>
      <c r="Z192" s="342"/>
      <c r="AA192" s="342"/>
      <c r="AB192" s="344"/>
      <c r="AC192" s="346"/>
      <c r="AD192" s="342"/>
      <c r="AE192" s="342"/>
      <c r="AF192" s="342"/>
      <c r="AG192" s="342"/>
      <c r="AH192" s="344"/>
      <c r="AI192" s="356"/>
      <c r="AJ192" s="343"/>
      <c r="AK192" s="345"/>
      <c r="AL192" s="337"/>
      <c r="AM192" s="54" t="s">
        <v>99</v>
      </c>
      <c r="AN192" s="57"/>
      <c r="AO192" s="54" t="s">
        <v>13</v>
      </c>
      <c r="AP192" s="60"/>
      <c r="AQ192" s="337"/>
      <c r="AR192" s="54" t="s">
        <v>99</v>
      </c>
      <c r="AS192" s="57"/>
      <c r="AT192" s="54" t="s">
        <v>13</v>
      </c>
      <c r="AU192" s="60"/>
    </row>
    <row r="193" spans="1:47" ht="16.5" customHeight="1">
      <c r="A193" s="329"/>
      <c r="B193" s="330"/>
      <c r="C193" s="15" t="s">
        <v>42</v>
      </c>
      <c r="D193" s="19"/>
      <c r="E193" s="16" t="s">
        <v>53</v>
      </c>
      <c r="F193" s="22"/>
      <c r="G193" s="160"/>
      <c r="H193" s="186"/>
      <c r="I193" s="161"/>
      <c r="J193" s="161"/>
      <c r="K193" s="15" t="s">
        <v>63</v>
      </c>
      <c r="L193" s="11"/>
      <c r="M193" s="33"/>
      <c r="N193" s="34"/>
      <c r="O193" s="15" t="s">
        <v>63</v>
      </c>
      <c r="P193" s="11"/>
      <c r="Q193" s="33"/>
      <c r="R193" s="34"/>
      <c r="S193" s="15" t="s">
        <v>63</v>
      </c>
      <c r="T193" s="11"/>
      <c r="U193" s="33"/>
      <c r="V193" s="38"/>
      <c r="W193" s="356"/>
      <c r="X193" s="343"/>
      <c r="Y193" s="343"/>
      <c r="Z193" s="343"/>
      <c r="AA193" s="343"/>
      <c r="AB193" s="345"/>
      <c r="AC193" s="356"/>
      <c r="AD193" s="343"/>
      <c r="AE193" s="343"/>
      <c r="AF193" s="343"/>
      <c r="AG193" s="343"/>
      <c r="AH193" s="345"/>
      <c r="AI193" s="172"/>
      <c r="AJ193" s="173"/>
      <c r="AK193" s="174"/>
      <c r="AL193" s="338"/>
      <c r="AM193" s="55" t="s">
        <v>100</v>
      </c>
      <c r="AN193" s="58"/>
      <c r="AO193" s="55" t="s">
        <v>101</v>
      </c>
      <c r="AP193" s="61"/>
      <c r="AQ193" s="338"/>
      <c r="AR193" s="55" t="s">
        <v>100</v>
      </c>
      <c r="AS193" s="58"/>
      <c r="AT193" s="55" t="s">
        <v>101</v>
      </c>
      <c r="AU193" s="61"/>
    </row>
    <row r="194" spans="1:47" ht="16.5" customHeight="1">
      <c r="A194" s="329"/>
      <c r="B194" s="330"/>
      <c r="C194" s="16" t="s">
        <v>43</v>
      </c>
      <c r="D194" s="21"/>
      <c r="E194" s="189" t="s">
        <v>293</v>
      </c>
      <c r="F194" s="190" t="s">
        <v>186</v>
      </c>
      <c r="G194" s="162"/>
      <c r="H194" s="187"/>
      <c r="I194" s="163"/>
      <c r="J194" s="163"/>
      <c r="K194" s="30" t="s">
        <v>64</v>
      </c>
      <c r="L194" s="24"/>
      <c r="M194" s="35"/>
      <c r="N194" s="36"/>
      <c r="O194" s="30" t="s">
        <v>64</v>
      </c>
      <c r="P194" s="24"/>
      <c r="Q194" s="35"/>
      <c r="R194" s="36"/>
      <c r="S194" s="30" t="s">
        <v>64</v>
      </c>
      <c r="T194" s="24"/>
      <c r="U194" s="35"/>
      <c r="V194" s="39"/>
      <c r="W194" s="156"/>
      <c r="X194" s="157"/>
      <c r="Y194" s="165"/>
      <c r="Z194" s="165"/>
      <c r="AA194" s="166"/>
      <c r="AB194" s="167"/>
      <c r="AC194" s="168"/>
      <c r="AD194" s="169"/>
      <c r="AE194" s="170"/>
      <c r="AF194" s="170"/>
      <c r="AG194" s="170"/>
      <c r="AH194" s="171"/>
      <c r="AI194" s="168"/>
      <c r="AJ194" s="169"/>
      <c r="AK194" s="171"/>
      <c r="AL194" s="175"/>
      <c r="AM194" s="158"/>
      <c r="AN194" s="158"/>
      <c r="AO194" s="158"/>
      <c r="AP194" s="159"/>
      <c r="AQ194" s="175"/>
      <c r="AR194" s="158"/>
      <c r="AS194" s="158"/>
      <c r="AT194" s="158"/>
      <c r="AU194" s="159"/>
    </row>
    <row r="195" spans="1:47" ht="16.5" customHeight="1"/>
    <row r="196" spans="1:47" ht="16.5" customHeight="1">
      <c r="A196" s="329">
        <v>17</v>
      </c>
      <c r="B196" s="330" t="s">
        <v>265</v>
      </c>
      <c r="C196" s="14" t="s">
        <v>45</v>
      </c>
      <c r="D196" s="52"/>
      <c r="E196" s="14" t="s">
        <v>46</v>
      </c>
      <c r="F196" s="17"/>
      <c r="G196" s="149">
        <v>6</v>
      </c>
      <c r="H196" s="181"/>
      <c r="I196" s="10"/>
      <c r="J196" s="26"/>
      <c r="K196" s="14" t="s">
        <v>54</v>
      </c>
      <c r="L196" s="9"/>
      <c r="M196" s="31"/>
      <c r="N196" s="32"/>
      <c r="O196" s="14" t="s">
        <v>54</v>
      </c>
      <c r="P196" s="9"/>
      <c r="Q196" s="31"/>
      <c r="R196" s="32"/>
      <c r="S196" s="14" t="s">
        <v>54</v>
      </c>
      <c r="T196" s="9"/>
      <c r="U196" s="31"/>
      <c r="V196" s="37"/>
      <c r="W196" s="353"/>
      <c r="X196" s="354"/>
      <c r="Y196" s="354"/>
      <c r="Z196" s="354"/>
      <c r="AA196" s="354"/>
      <c r="AB196" s="355"/>
      <c r="AC196" s="353"/>
      <c r="AD196" s="354"/>
      <c r="AE196" s="354"/>
      <c r="AF196" s="354"/>
      <c r="AG196" s="354"/>
      <c r="AH196" s="355"/>
      <c r="AI196" s="353">
        <v>6</v>
      </c>
      <c r="AJ196" s="354"/>
      <c r="AK196" s="355"/>
      <c r="AL196" s="336">
        <v>1</v>
      </c>
      <c r="AM196" s="53" t="s">
        <v>0</v>
      </c>
      <c r="AN196" s="339"/>
      <c r="AO196" s="340"/>
      <c r="AP196" s="341"/>
      <c r="AQ196" s="336">
        <v>3</v>
      </c>
      <c r="AR196" s="53" t="s">
        <v>0</v>
      </c>
      <c r="AS196" s="339"/>
      <c r="AT196" s="340"/>
      <c r="AU196" s="341"/>
    </row>
    <row r="197" spans="1:47" ht="16.5" customHeight="1">
      <c r="A197" s="329"/>
      <c r="B197" s="330"/>
      <c r="C197" s="15" t="s">
        <v>36</v>
      </c>
      <c r="D197" s="19"/>
      <c r="E197" s="15" t="s">
        <v>73</v>
      </c>
      <c r="F197" s="18"/>
      <c r="G197" s="150">
        <v>7</v>
      </c>
      <c r="H197" s="182"/>
      <c r="I197" s="12"/>
      <c r="J197" s="27"/>
      <c r="K197" s="15" t="s">
        <v>55</v>
      </c>
      <c r="L197" s="11"/>
      <c r="M197" s="33"/>
      <c r="N197" s="34"/>
      <c r="O197" s="15" t="s">
        <v>55</v>
      </c>
      <c r="P197" s="11"/>
      <c r="Q197" s="33"/>
      <c r="R197" s="34"/>
      <c r="S197" s="15" t="s">
        <v>55</v>
      </c>
      <c r="T197" s="11"/>
      <c r="U197" s="33"/>
      <c r="V197" s="38"/>
      <c r="W197" s="346"/>
      <c r="X197" s="342"/>
      <c r="Y197" s="342"/>
      <c r="Z197" s="342"/>
      <c r="AA197" s="342"/>
      <c r="AB197" s="344"/>
      <c r="AC197" s="346"/>
      <c r="AD197" s="342"/>
      <c r="AE197" s="342"/>
      <c r="AF197" s="342"/>
      <c r="AG197" s="342"/>
      <c r="AH197" s="344"/>
      <c r="AI197" s="346"/>
      <c r="AJ197" s="342"/>
      <c r="AK197" s="344"/>
      <c r="AL197" s="337"/>
      <c r="AM197" s="54" t="s">
        <v>97</v>
      </c>
      <c r="AN197" s="176"/>
      <c r="AO197" s="54" t="s">
        <v>212</v>
      </c>
      <c r="AP197" s="178"/>
      <c r="AQ197" s="337"/>
      <c r="AR197" s="54" t="s">
        <v>97</v>
      </c>
      <c r="AS197" s="176"/>
      <c r="AT197" s="179" t="s">
        <v>212</v>
      </c>
      <c r="AU197" s="177"/>
    </row>
    <row r="198" spans="1:47" ht="16.5" customHeight="1">
      <c r="A198" s="329"/>
      <c r="B198" s="330"/>
      <c r="C198" s="15" t="s">
        <v>37</v>
      </c>
      <c r="D198" s="20"/>
      <c r="E198" s="15" t="s">
        <v>47</v>
      </c>
      <c r="F198" s="18"/>
      <c r="G198" s="150">
        <v>8</v>
      </c>
      <c r="H198" s="183"/>
      <c r="I198" s="13"/>
      <c r="J198" s="28"/>
      <c r="K198" s="15" t="s">
        <v>56</v>
      </c>
      <c r="L198" s="11"/>
      <c r="M198" s="33"/>
      <c r="N198" s="34"/>
      <c r="O198" s="15" t="s">
        <v>56</v>
      </c>
      <c r="P198" s="11"/>
      <c r="Q198" s="33"/>
      <c r="R198" s="34"/>
      <c r="S198" s="15" t="s">
        <v>56</v>
      </c>
      <c r="T198" s="11"/>
      <c r="U198" s="33"/>
      <c r="V198" s="38"/>
      <c r="W198" s="346"/>
      <c r="X198" s="342"/>
      <c r="Y198" s="342"/>
      <c r="Z198" s="342"/>
      <c r="AA198" s="342"/>
      <c r="AB198" s="344"/>
      <c r="AC198" s="346"/>
      <c r="AD198" s="342"/>
      <c r="AE198" s="342"/>
      <c r="AF198" s="342"/>
      <c r="AG198" s="342"/>
      <c r="AH198" s="344"/>
      <c r="AI198" s="346"/>
      <c r="AJ198" s="342"/>
      <c r="AK198" s="344"/>
      <c r="AL198" s="337"/>
      <c r="AM198" s="54" t="s">
        <v>98</v>
      </c>
      <c r="AN198" s="56"/>
      <c r="AO198" s="54" t="s">
        <v>13</v>
      </c>
      <c r="AP198" s="59"/>
      <c r="AQ198" s="337"/>
      <c r="AR198" s="54" t="s">
        <v>98</v>
      </c>
      <c r="AS198" s="56"/>
      <c r="AT198" s="54" t="s">
        <v>13</v>
      </c>
      <c r="AU198" s="59"/>
    </row>
    <row r="199" spans="1:47" ht="16.5" customHeight="1">
      <c r="A199" s="329"/>
      <c r="B199" s="330"/>
      <c r="C199" s="15" t="s">
        <v>44</v>
      </c>
      <c r="D199" s="19"/>
      <c r="E199" s="15" t="s">
        <v>65</v>
      </c>
      <c r="F199" s="18"/>
      <c r="G199" s="153"/>
      <c r="H199" s="184"/>
      <c r="I199" s="23"/>
      <c r="J199" s="23"/>
      <c r="K199" s="15" t="s">
        <v>57</v>
      </c>
      <c r="L199" s="11"/>
      <c r="M199" s="33"/>
      <c r="N199" s="34"/>
      <c r="O199" s="15" t="s">
        <v>57</v>
      </c>
      <c r="P199" s="11"/>
      <c r="Q199" s="33"/>
      <c r="R199" s="34"/>
      <c r="S199" s="15" t="s">
        <v>57</v>
      </c>
      <c r="T199" s="11"/>
      <c r="U199" s="33"/>
      <c r="V199" s="38"/>
      <c r="W199" s="346"/>
      <c r="X199" s="342"/>
      <c r="Y199" s="342"/>
      <c r="Z199" s="342"/>
      <c r="AA199" s="342"/>
      <c r="AB199" s="344"/>
      <c r="AC199" s="346"/>
      <c r="AD199" s="342"/>
      <c r="AE199" s="342"/>
      <c r="AF199" s="342"/>
      <c r="AG199" s="342"/>
      <c r="AH199" s="344"/>
      <c r="AI199" s="346">
        <v>7</v>
      </c>
      <c r="AJ199" s="342"/>
      <c r="AK199" s="344"/>
      <c r="AL199" s="337"/>
      <c r="AM199" s="54" t="s">
        <v>99</v>
      </c>
      <c r="AN199" s="57"/>
      <c r="AO199" s="54" t="s">
        <v>13</v>
      </c>
      <c r="AP199" s="60"/>
      <c r="AQ199" s="337"/>
      <c r="AR199" s="54" t="s">
        <v>99</v>
      </c>
      <c r="AS199" s="57"/>
      <c r="AT199" s="54" t="s">
        <v>13</v>
      </c>
      <c r="AU199" s="60"/>
    </row>
    <row r="200" spans="1:47" ht="16.5" customHeight="1">
      <c r="A200" s="329"/>
      <c r="B200" s="330"/>
      <c r="C200" s="15" t="s">
        <v>229</v>
      </c>
      <c r="D200" s="4"/>
      <c r="E200" s="15" t="s">
        <v>48</v>
      </c>
      <c r="F200" s="18"/>
      <c r="G200" s="331" t="s">
        <v>12</v>
      </c>
      <c r="H200" s="332"/>
      <c r="I200" s="332"/>
      <c r="J200" s="332"/>
      <c r="K200" s="15" t="s">
        <v>58</v>
      </c>
      <c r="L200" s="11"/>
      <c r="M200" s="33"/>
      <c r="N200" s="34"/>
      <c r="O200" s="15" t="s">
        <v>58</v>
      </c>
      <c r="P200" s="11"/>
      <c r="Q200" s="33"/>
      <c r="R200" s="34"/>
      <c r="S200" s="15" t="s">
        <v>58</v>
      </c>
      <c r="T200" s="11"/>
      <c r="U200" s="33"/>
      <c r="V200" s="38"/>
      <c r="W200" s="346"/>
      <c r="X200" s="342"/>
      <c r="Y200" s="342"/>
      <c r="Z200" s="342"/>
      <c r="AA200" s="342"/>
      <c r="AB200" s="344"/>
      <c r="AC200" s="346"/>
      <c r="AD200" s="342"/>
      <c r="AE200" s="342"/>
      <c r="AF200" s="342"/>
      <c r="AG200" s="342"/>
      <c r="AH200" s="344"/>
      <c r="AI200" s="346"/>
      <c r="AJ200" s="342"/>
      <c r="AK200" s="344"/>
      <c r="AL200" s="338"/>
      <c r="AM200" s="55" t="s">
        <v>100</v>
      </c>
      <c r="AN200" s="58"/>
      <c r="AO200" s="55" t="s">
        <v>101</v>
      </c>
      <c r="AP200" s="61"/>
      <c r="AQ200" s="338"/>
      <c r="AR200" s="55" t="s">
        <v>100</v>
      </c>
      <c r="AS200" s="58"/>
      <c r="AT200" s="55" t="s">
        <v>101</v>
      </c>
      <c r="AU200" s="61"/>
    </row>
    <row r="201" spans="1:47" ht="16.5" customHeight="1">
      <c r="A201" s="329"/>
      <c r="B201" s="330"/>
      <c r="C201" s="15" t="s">
        <v>38</v>
      </c>
      <c r="D201" s="19"/>
      <c r="E201" s="15" t="s">
        <v>49</v>
      </c>
      <c r="F201" s="18"/>
      <c r="G201" s="8" t="s">
        <v>13</v>
      </c>
      <c r="H201" s="180" t="s">
        <v>14</v>
      </c>
      <c r="I201" s="6" t="s">
        <v>15</v>
      </c>
      <c r="J201" s="6" t="s">
        <v>16</v>
      </c>
      <c r="K201" s="15" t="s">
        <v>59</v>
      </c>
      <c r="L201" s="11"/>
      <c r="M201" s="33"/>
      <c r="N201" s="34"/>
      <c r="O201" s="15" t="s">
        <v>59</v>
      </c>
      <c r="P201" s="11"/>
      <c r="Q201" s="33"/>
      <c r="R201" s="34"/>
      <c r="S201" s="15" t="s">
        <v>59</v>
      </c>
      <c r="T201" s="11"/>
      <c r="U201" s="33"/>
      <c r="V201" s="38"/>
      <c r="W201" s="346"/>
      <c r="X201" s="342"/>
      <c r="Y201" s="342"/>
      <c r="Z201" s="342"/>
      <c r="AA201" s="342"/>
      <c r="AB201" s="344"/>
      <c r="AC201" s="346"/>
      <c r="AD201" s="342"/>
      <c r="AE201" s="342"/>
      <c r="AF201" s="342"/>
      <c r="AG201" s="342"/>
      <c r="AH201" s="344"/>
      <c r="AI201" s="346"/>
      <c r="AJ201" s="342"/>
      <c r="AK201" s="344"/>
      <c r="AL201" s="336">
        <v>2</v>
      </c>
      <c r="AM201" s="53" t="s">
        <v>0</v>
      </c>
      <c r="AN201" s="339"/>
      <c r="AO201" s="340"/>
      <c r="AP201" s="341"/>
      <c r="AQ201" s="336">
        <v>4</v>
      </c>
      <c r="AR201" s="53" t="s">
        <v>0</v>
      </c>
      <c r="AS201" s="339"/>
      <c r="AT201" s="340"/>
      <c r="AU201" s="341"/>
    </row>
    <row r="202" spans="1:47" ht="16.5" customHeight="1">
      <c r="A202" s="329"/>
      <c r="B202" s="330"/>
      <c r="C202" s="15" t="s">
        <v>39</v>
      </c>
      <c r="D202" s="19"/>
      <c r="E202" s="15" t="s">
        <v>50</v>
      </c>
      <c r="F202" s="18"/>
      <c r="G202" s="154">
        <v>6</v>
      </c>
      <c r="H202" s="181"/>
      <c r="I202" s="10"/>
      <c r="J202" s="26"/>
      <c r="K202" s="15" t="s">
        <v>60</v>
      </c>
      <c r="L202" s="11"/>
      <c r="M202" s="33"/>
      <c r="N202" s="34"/>
      <c r="O202" s="15" t="s">
        <v>60</v>
      </c>
      <c r="P202" s="11"/>
      <c r="Q202" s="33"/>
      <c r="R202" s="34"/>
      <c r="S202" s="15" t="s">
        <v>60</v>
      </c>
      <c r="T202" s="11"/>
      <c r="U202" s="33"/>
      <c r="V202" s="38"/>
      <c r="W202" s="346"/>
      <c r="X202" s="342"/>
      <c r="Y202" s="342"/>
      <c r="Z202" s="342"/>
      <c r="AA202" s="342"/>
      <c r="AB202" s="344"/>
      <c r="AC202" s="346"/>
      <c r="AD202" s="342"/>
      <c r="AE202" s="342"/>
      <c r="AF202" s="342"/>
      <c r="AG202" s="342"/>
      <c r="AH202" s="344"/>
      <c r="AI202" s="346">
        <v>8</v>
      </c>
      <c r="AJ202" s="342"/>
      <c r="AK202" s="344"/>
      <c r="AL202" s="337"/>
      <c r="AM202" s="54" t="s">
        <v>97</v>
      </c>
      <c r="AN202" s="176"/>
      <c r="AO202" s="179" t="s">
        <v>212</v>
      </c>
      <c r="AP202" s="177"/>
      <c r="AQ202" s="337"/>
      <c r="AR202" s="54" t="s">
        <v>97</v>
      </c>
      <c r="AS202" s="176"/>
      <c r="AT202" s="179" t="s">
        <v>212</v>
      </c>
      <c r="AU202" s="177"/>
    </row>
    <row r="203" spans="1:47" ht="16.5" customHeight="1">
      <c r="A203" s="329"/>
      <c r="B203" s="330"/>
      <c r="C203" s="15" t="s">
        <v>40</v>
      </c>
      <c r="D203" s="19"/>
      <c r="E203" s="15" t="s">
        <v>51</v>
      </c>
      <c r="F203" s="18"/>
      <c r="G203" s="155">
        <v>7</v>
      </c>
      <c r="H203" s="182"/>
      <c r="I203" s="12"/>
      <c r="J203" s="27"/>
      <c r="K203" s="15" t="s">
        <v>61</v>
      </c>
      <c r="L203" s="11"/>
      <c r="M203" s="33"/>
      <c r="N203" s="34"/>
      <c r="O203" s="15" t="s">
        <v>61</v>
      </c>
      <c r="P203" s="11"/>
      <c r="Q203" s="33"/>
      <c r="R203" s="34"/>
      <c r="S203" s="15" t="s">
        <v>61</v>
      </c>
      <c r="T203" s="11"/>
      <c r="U203" s="33"/>
      <c r="V203" s="38"/>
      <c r="W203" s="346"/>
      <c r="X203" s="342"/>
      <c r="Y203" s="342"/>
      <c r="Z203" s="342"/>
      <c r="AA203" s="342"/>
      <c r="AB203" s="344"/>
      <c r="AC203" s="346"/>
      <c r="AD203" s="342"/>
      <c r="AE203" s="342"/>
      <c r="AF203" s="342"/>
      <c r="AG203" s="342"/>
      <c r="AH203" s="344"/>
      <c r="AI203" s="346"/>
      <c r="AJ203" s="342"/>
      <c r="AK203" s="344"/>
      <c r="AL203" s="337"/>
      <c r="AM203" s="54" t="s">
        <v>98</v>
      </c>
      <c r="AN203" s="56"/>
      <c r="AO203" s="54" t="s">
        <v>13</v>
      </c>
      <c r="AP203" s="59"/>
      <c r="AQ203" s="337"/>
      <c r="AR203" s="54" t="s">
        <v>98</v>
      </c>
      <c r="AS203" s="56"/>
      <c r="AT203" s="54" t="s">
        <v>13</v>
      </c>
      <c r="AU203" s="59"/>
    </row>
    <row r="204" spans="1:47" ht="16.5" customHeight="1">
      <c r="A204" s="329"/>
      <c r="B204" s="330"/>
      <c r="C204" s="15" t="s">
        <v>41</v>
      </c>
      <c r="D204" s="19"/>
      <c r="E204" s="15" t="s">
        <v>52</v>
      </c>
      <c r="F204" s="18"/>
      <c r="G204" s="155">
        <v>8</v>
      </c>
      <c r="H204" s="185"/>
      <c r="I204" s="25"/>
      <c r="J204" s="29"/>
      <c r="K204" s="15" t="s">
        <v>62</v>
      </c>
      <c r="L204" s="11"/>
      <c r="M204" s="33"/>
      <c r="N204" s="34"/>
      <c r="O204" s="15" t="s">
        <v>62</v>
      </c>
      <c r="P204" s="11"/>
      <c r="Q204" s="33"/>
      <c r="R204" s="34"/>
      <c r="S204" s="15" t="s">
        <v>62</v>
      </c>
      <c r="T204" s="11"/>
      <c r="U204" s="33"/>
      <c r="V204" s="38"/>
      <c r="W204" s="346"/>
      <c r="X204" s="342"/>
      <c r="Y204" s="342"/>
      <c r="Z204" s="342"/>
      <c r="AA204" s="342"/>
      <c r="AB204" s="344"/>
      <c r="AC204" s="346"/>
      <c r="AD204" s="342"/>
      <c r="AE204" s="342"/>
      <c r="AF204" s="342"/>
      <c r="AG204" s="342"/>
      <c r="AH204" s="344"/>
      <c r="AI204" s="356"/>
      <c r="AJ204" s="343"/>
      <c r="AK204" s="345"/>
      <c r="AL204" s="337"/>
      <c r="AM204" s="54" t="s">
        <v>99</v>
      </c>
      <c r="AN204" s="57"/>
      <c r="AO204" s="54" t="s">
        <v>13</v>
      </c>
      <c r="AP204" s="60"/>
      <c r="AQ204" s="337"/>
      <c r="AR204" s="54" t="s">
        <v>99</v>
      </c>
      <c r="AS204" s="57"/>
      <c r="AT204" s="54" t="s">
        <v>13</v>
      </c>
      <c r="AU204" s="60"/>
    </row>
    <row r="205" spans="1:47" ht="16.5" customHeight="1">
      <c r="A205" s="329"/>
      <c r="B205" s="330"/>
      <c r="C205" s="15" t="s">
        <v>42</v>
      </c>
      <c r="D205" s="19"/>
      <c r="E205" s="16" t="s">
        <v>53</v>
      </c>
      <c r="F205" s="22"/>
      <c r="G205" s="160"/>
      <c r="H205" s="186"/>
      <c r="I205" s="161"/>
      <c r="J205" s="161"/>
      <c r="K205" s="15" t="s">
        <v>63</v>
      </c>
      <c r="L205" s="11"/>
      <c r="M205" s="33"/>
      <c r="N205" s="34"/>
      <c r="O205" s="15" t="s">
        <v>63</v>
      </c>
      <c r="P205" s="11"/>
      <c r="Q205" s="33"/>
      <c r="R205" s="34"/>
      <c r="S205" s="15" t="s">
        <v>63</v>
      </c>
      <c r="T205" s="11"/>
      <c r="U205" s="33"/>
      <c r="V205" s="38"/>
      <c r="W205" s="356"/>
      <c r="X205" s="343"/>
      <c r="Y205" s="343"/>
      <c r="Z205" s="343"/>
      <c r="AA205" s="343"/>
      <c r="AB205" s="345"/>
      <c r="AC205" s="356"/>
      <c r="AD205" s="343"/>
      <c r="AE205" s="343"/>
      <c r="AF205" s="343"/>
      <c r="AG205" s="343"/>
      <c r="AH205" s="345"/>
      <c r="AI205" s="172"/>
      <c r="AJ205" s="173"/>
      <c r="AK205" s="174"/>
      <c r="AL205" s="338"/>
      <c r="AM205" s="55" t="s">
        <v>100</v>
      </c>
      <c r="AN205" s="58"/>
      <c r="AO205" s="55" t="s">
        <v>101</v>
      </c>
      <c r="AP205" s="61"/>
      <c r="AQ205" s="338"/>
      <c r="AR205" s="55" t="s">
        <v>100</v>
      </c>
      <c r="AS205" s="58"/>
      <c r="AT205" s="55" t="s">
        <v>101</v>
      </c>
      <c r="AU205" s="61"/>
    </row>
    <row r="206" spans="1:47" ht="16.5" customHeight="1">
      <c r="A206" s="329"/>
      <c r="B206" s="330"/>
      <c r="C206" s="16" t="s">
        <v>43</v>
      </c>
      <c r="D206" s="21"/>
      <c r="E206" s="189" t="s">
        <v>293</v>
      </c>
      <c r="F206" s="190" t="s">
        <v>186</v>
      </c>
      <c r="G206" s="162"/>
      <c r="H206" s="187"/>
      <c r="I206" s="163"/>
      <c r="J206" s="163"/>
      <c r="K206" s="30" t="s">
        <v>64</v>
      </c>
      <c r="L206" s="24"/>
      <c r="M206" s="35"/>
      <c r="N206" s="36"/>
      <c r="O206" s="30" t="s">
        <v>64</v>
      </c>
      <c r="P206" s="24"/>
      <c r="Q206" s="35"/>
      <c r="R206" s="36"/>
      <c r="S206" s="30" t="s">
        <v>64</v>
      </c>
      <c r="T206" s="24"/>
      <c r="U206" s="35"/>
      <c r="V206" s="39"/>
      <c r="W206" s="156"/>
      <c r="X206" s="157"/>
      <c r="Y206" s="165"/>
      <c r="Z206" s="165"/>
      <c r="AA206" s="166"/>
      <c r="AB206" s="167"/>
      <c r="AC206" s="168"/>
      <c r="AD206" s="169"/>
      <c r="AE206" s="170"/>
      <c r="AF206" s="170"/>
      <c r="AG206" s="170"/>
      <c r="AH206" s="171"/>
      <c r="AI206" s="168"/>
      <c r="AJ206" s="169"/>
      <c r="AK206" s="171"/>
      <c r="AL206" s="175"/>
      <c r="AM206" s="158"/>
      <c r="AN206" s="158"/>
      <c r="AO206" s="158"/>
      <c r="AP206" s="159"/>
      <c r="AQ206" s="175"/>
      <c r="AR206" s="158"/>
      <c r="AS206" s="158"/>
      <c r="AT206" s="158"/>
      <c r="AU206" s="159"/>
    </row>
    <row r="207" spans="1:47" ht="16.5" customHeight="1"/>
    <row r="208" spans="1:47" ht="16.5" customHeight="1">
      <c r="A208" s="329">
        <v>18</v>
      </c>
      <c r="B208" s="330" t="s">
        <v>266</v>
      </c>
      <c r="C208" s="14" t="s">
        <v>45</v>
      </c>
      <c r="D208" s="52"/>
      <c r="E208" s="14" t="s">
        <v>46</v>
      </c>
      <c r="F208" s="17"/>
      <c r="G208" s="149">
        <v>6</v>
      </c>
      <c r="H208" s="181"/>
      <c r="I208" s="10"/>
      <c r="J208" s="26"/>
      <c r="K208" s="14" t="s">
        <v>54</v>
      </c>
      <c r="L208" s="9"/>
      <c r="M208" s="31"/>
      <c r="N208" s="32"/>
      <c r="O208" s="14" t="s">
        <v>54</v>
      </c>
      <c r="P208" s="9"/>
      <c r="Q208" s="31"/>
      <c r="R208" s="32"/>
      <c r="S208" s="14" t="s">
        <v>54</v>
      </c>
      <c r="T208" s="9"/>
      <c r="U208" s="31"/>
      <c r="V208" s="37"/>
      <c r="W208" s="353"/>
      <c r="X208" s="354"/>
      <c r="Y208" s="354"/>
      <c r="Z208" s="354"/>
      <c r="AA208" s="354"/>
      <c r="AB208" s="355"/>
      <c r="AC208" s="353"/>
      <c r="AD208" s="354"/>
      <c r="AE208" s="354"/>
      <c r="AF208" s="354"/>
      <c r="AG208" s="354"/>
      <c r="AH208" s="355"/>
      <c r="AI208" s="353">
        <v>6</v>
      </c>
      <c r="AJ208" s="354"/>
      <c r="AK208" s="355"/>
      <c r="AL208" s="336">
        <v>1</v>
      </c>
      <c r="AM208" s="53" t="s">
        <v>0</v>
      </c>
      <c r="AN208" s="339"/>
      <c r="AO208" s="340"/>
      <c r="AP208" s="341"/>
      <c r="AQ208" s="336">
        <v>3</v>
      </c>
      <c r="AR208" s="53" t="s">
        <v>0</v>
      </c>
      <c r="AS208" s="339"/>
      <c r="AT208" s="340"/>
      <c r="AU208" s="341"/>
    </row>
    <row r="209" spans="1:47" ht="16.5" customHeight="1">
      <c r="A209" s="329"/>
      <c r="B209" s="330"/>
      <c r="C209" s="15" t="s">
        <v>36</v>
      </c>
      <c r="D209" s="19"/>
      <c r="E209" s="15" t="s">
        <v>73</v>
      </c>
      <c r="F209" s="18"/>
      <c r="G209" s="150">
        <v>7</v>
      </c>
      <c r="H209" s="182"/>
      <c r="I209" s="12"/>
      <c r="J209" s="27"/>
      <c r="K209" s="15" t="s">
        <v>55</v>
      </c>
      <c r="L209" s="11"/>
      <c r="M209" s="33"/>
      <c r="N209" s="34"/>
      <c r="O209" s="15" t="s">
        <v>55</v>
      </c>
      <c r="P209" s="11"/>
      <c r="Q209" s="33"/>
      <c r="R209" s="34"/>
      <c r="S209" s="15" t="s">
        <v>55</v>
      </c>
      <c r="T209" s="11"/>
      <c r="U209" s="33"/>
      <c r="V209" s="38"/>
      <c r="W209" s="346"/>
      <c r="X209" s="342"/>
      <c r="Y209" s="342"/>
      <c r="Z209" s="342"/>
      <c r="AA209" s="342"/>
      <c r="AB209" s="344"/>
      <c r="AC209" s="346"/>
      <c r="AD209" s="342"/>
      <c r="AE209" s="342"/>
      <c r="AF209" s="342"/>
      <c r="AG209" s="342"/>
      <c r="AH209" s="344"/>
      <c r="AI209" s="346"/>
      <c r="AJ209" s="342"/>
      <c r="AK209" s="344"/>
      <c r="AL209" s="337"/>
      <c r="AM209" s="54" t="s">
        <v>97</v>
      </c>
      <c r="AN209" s="176"/>
      <c r="AO209" s="54" t="s">
        <v>212</v>
      </c>
      <c r="AP209" s="178"/>
      <c r="AQ209" s="337"/>
      <c r="AR209" s="54" t="s">
        <v>97</v>
      </c>
      <c r="AS209" s="176"/>
      <c r="AT209" s="179" t="s">
        <v>212</v>
      </c>
      <c r="AU209" s="177"/>
    </row>
    <row r="210" spans="1:47" ht="16.5" customHeight="1">
      <c r="A210" s="329"/>
      <c r="B210" s="330"/>
      <c r="C210" s="15" t="s">
        <v>37</v>
      </c>
      <c r="D210" s="20"/>
      <c r="E210" s="15" t="s">
        <v>47</v>
      </c>
      <c r="F210" s="18"/>
      <c r="G210" s="150">
        <v>8</v>
      </c>
      <c r="H210" s="183"/>
      <c r="I210" s="13"/>
      <c r="J210" s="28"/>
      <c r="K210" s="15" t="s">
        <v>56</v>
      </c>
      <c r="L210" s="11"/>
      <c r="M210" s="33"/>
      <c r="N210" s="34"/>
      <c r="O210" s="15" t="s">
        <v>56</v>
      </c>
      <c r="P210" s="11"/>
      <c r="Q210" s="33"/>
      <c r="R210" s="34"/>
      <c r="S210" s="15" t="s">
        <v>56</v>
      </c>
      <c r="T210" s="11"/>
      <c r="U210" s="33"/>
      <c r="V210" s="38"/>
      <c r="W210" s="346"/>
      <c r="X210" s="342"/>
      <c r="Y210" s="342"/>
      <c r="Z210" s="342"/>
      <c r="AA210" s="342"/>
      <c r="AB210" s="344"/>
      <c r="AC210" s="346"/>
      <c r="AD210" s="342"/>
      <c r="AE210" s="342"/>
      <c r="AF210" s="342"/>
      <c r="AG210" s="342"/>
      <c r="AH210" s="344"/>
      <c r="AI210" s="346"/>
      <c r="AJ210" s="342"/>
      <c r="AK210" s="344"/>
      <c r="AL210" s="337"/>
      <c r="AM210" s="54" t="s">
        <v>98</v>
      </c>
      <c r="AN210" s="56"/>
      <c r="AO210" s="54" t="s">
        <v>13</v>
      </c>
      <c r="AP210" s="59"/>
      <c r="AQ210" s="337"/>
      <c r="AR210" s="54" t="s">
        <v>98</v>
      </c>
      <c r="AS210" s="56"/>
      <c r="AT210" s="54" t="s">
        <v>13</v>
      </c>
      <c r="AU210" s="59"/>
    </row>
    <row r="211" spans="1:47" ht="16.5" customHeight="1">
      <c r="A211" s="329"/>
      <c r="B211" s="330"/>
      <c r="C211" s="15" t="s">
        <v>44</v>
      </c>
      <c r="D211" s="19"/>
      <c r="E211" s="15" t="s">
        <v>65</v>
      </c>
      <c r="F211" s="18"/>
      <c r="G211" s="153"/>
      <c r="H211" s="184"/>
      <c r="I211" s="23"/>
      <c r="J211" s="23"/>
      <c r="K211" s="15" t="s">
        <v>57</v>
      </c>
      <c r="L211" s="11"/>
      <c r="M211" s="33"/>
      <c r="N211" s="34"/>
      <c r="O211" s="15" t="s">
        <v>57</v>
      </c>
      <c r="P211" s="11"/>
      <c r="Q211" s="33"/>
      <c r="R211" s="34"/>
      <c r="S211" s="15" t="s">
        <v>57</v>
      </c>
      <c r="T211" s="11"/>
      <c r="U211" s="33"/>
      <c r="V211" s="38"/>
      <c r="W211" s="346"/>
      <c r="X211" s="342"/>
      <c r="Y211" s="342"/>
      <c r="Z211" s="342"/>
      <c r="AA211" s="342"/>
      <c r="AB211" s="344"/>
      <c r="AC211" s="346"/>
      <c r="AD211" s="342"/>
      <c r="AE211" s="342"/>
      <c r="AF211" s="342"/>
      <c r="AG211" s="342"/>
      <c r="AH211" s="344"/>
      <c r="AI211" s="346">
        <v>7</v>
      </c>
      <c r="AJ211" s="342"/>
      <c r="AK211" s="344"/>
      <c r="AL211" s="337"/>
      <c r="AM211" s="54" t="s">
        <v>99</v>
      </c>
      <c r="AN211" s="57"/>
      <c r="AO211" s="54" t="s">
        <v>13</v>
      </c>
      <c r="AP211" s="60"/>
      <c r="AQ211" s="337"/>
      <c r="AR211" s="54" t="s">
        <v>99</v>
      </c>
      <c r="AS211" s="57"/>
      <c r="AT211" s="54" t="s">
        <v>13</v>
      </c>
      <c r="AU211" s="60"/>
    </row>
    <row r="212" spans="1:47" ht="16.5" customHeight="1">
      <c r="A212" s="329"/>
      <c r="B212" s="330"/>
      <c r="C212" s="15" t="s">
        <v>229</v>
      </c>
      <c r="D212" s="4"/>
      <c r="E212" s="15" t="s">
        <v>48</v>
      </c>
      <c r="F212" s="18"/>
      <c r="G212" s="331" t="s">
        <v>12</v>
      </c>
      <c r="H212" s="332"/>
      <c r="I212" s="332"/>
      <c r="J212" s="332"/>
      <c r="K212" s="15" t="s">
        <v>58</v>
      </c>
      <c r="L212" s="11"/>
      <c r="M212" s="33"/>
      <c r="N212" s="34"/>
      <c r="O212" s="15" t="s">
        <v>58</v>
      </c>
      <c r="P212" s="11"/>
      <c r="Q212" s="33"/>
      <c r="R212" s="34"/>
      <c r="S212" s="15" t="s">
        <v>58</v>
      </c>
      <c r="T212" s="11"/>
      <c r="U212" s="33"/>
      <c r="V212" s="38"/>
      <c r="W212" s="346"/>
      <c r="X212" s="342"/>
      <c r="Y212" s="342"/>
      <c r="Z212" s="342"/>
      <c r="AA212" s="342"/>
      <c r="AB212" s="344"/>
      <c r="AC212" s="346"/>
      <c r="AD212" s="342"/>
      <c r="AE212" s="342"/>
      <c r="AF212" s="342"/>
      <c r="AG212" s="342"/>
      <c r="AH212" s="344"/>
      <c r="AI212" s="346"/>
      <c r="AJ212" s="342"/>
      <c r="AK212" s="344"/>
      <c r="AL212" s="338"/>
      <c r="AM212" s="55" t="s">
        <v>100</v>
      </c>
      <c r="AN212" s="58"/>
      <c r="AO212" s="55" t="s">
        <v>101</v>
      </c>
      <c r="AP212" s="61"/>
      <c r="AQ212" s="338"/>
      <c r="AR212" s="55" t="s">
        <v>100</v>
      </c>
      <c r="AS212" s="58"/>
      <c r="AT212" s="55" t="s">
        <v>101</v>
      </c>
      <c r="AU212" s="61"/>
    </row>
    <row r="213" spans="1:47" ht="16.5" customHeight="1">
      <c r="A213" s="329"/>
      <c r="B213" s="330"/>
      <c r="C213" s="15" t="s">
        <v>38</v>
      </c>
      <c r="D213" s="19"/>
      <c r="E213" s="15" t="s">
        <v>49</v>
      </c>
      <c r="F213" s="18"/>
      <c r="G213" s="8" t="s">
        <v>13</v>
      </c>
      <c r="H213" s="180" t="s">
        <v>14</v>
      </c>
      <c r="I213" s="6" t="s">
        <v>15</v>
      </c>
      <c r="J213" s="6" t="s">
        <v>16</v>
      </c>
      <c r="K213" s="15" t="s">
        <v>59</v>
      </c>
      <c r="L213" s="11"/>
      <c r="M213" s="33"/>
      <c r="N213" s="34"/>
      <c r="O213" s="15" t="s">
        <v>59</v>
      </c>
      <c r="P213" s="11"/>
      <c r="Q213" s="33"/>
      <c r="R213" s="34"/>
      <c r="S213" s="15" t="s">
        <v>59</v>
      </c>
      <c r="T213" s="11"/>
      <c r="U213" s="33"/>
      <c r="V213" s="38"/>
      <c r="W213" s="346"/>
      <c r="X213" s="342"/>
      <c r="Y213" s="342"/>
      <c r="Z213" s="342"/>
      <c r="AA213" s="342"/>
      <c r="AB213" s="344"/>
      <c r="AC213" s="346"/>
      <c r="AD213" s="342"/>
      <c r="AE213" s="342"/>
      <c r="AF213" s="342"/>
      <c r="AG213" s="342"/>
      <c r="AH213" s="344"/>
      <c r="AI213" s="346"/>
      <c r="AJ213" s="342"/>
      <c r="AK213" s="344"/>
      <c r="AL213" s="336">
        <v>2</v>
      </c>
      <c r="AM213" s="53" t="s">
        <v>0</v>
      </c>
      <c r="AN213" s="339"/>
      <c r="AO213" s="340"/>
      <c r="AP213" s="341"/>
      <c r="AQ213" s="336">
        <v>4</v>
      </c>
      <c r="AR213" s="53" t="s">
        <v>0</v>
      </c>
      <c r="AS213" s="339"/>
      <c r="AT213" s="340"/>
      <c r="AU213" s="341"/>
    </row>
    <row r="214" spans="1:47" ht="16.5" customHeight="1">
      <c r="A214" s="329"/>
      <c r="B214" s="330"/>
      <c r="C214" s="15" t="s">
        <v>39</v>
      </c>
      <c r="D214" s="19"/>
      <c r="E214" s="15" t="s">
        <v>50</v>
      </c>
      <c r="F214" s="18"/>
      <c r="G214" s="154">
        <v>6</v>
      </c>
      <c r="H214" s="181"/>
      <c r="I214" s="10"/>
      <c r="J214" s="26"/>
      <c r="K214" s="15" t="s">
        <v>60</v>
      </c>
      <c r="L214" s="11"/>
      <c r="M214" s="33"/>
      <c r="N214" s="34"/>
      <c r="O214" s="15" t="s">
        <v>60</v>
      </c>
      <c r="P214" s="11"/>
      <c r="Q214" s="33"/>
      <c r="R214" s="34"/>
      <c r="S214" s="15" t="s">
        <v>60</v>
      </c>
      <c r="T214" s="11"/>
      <c r="U214" s="33"/>
      <c r="V214" s="38"/>
      <c r="W214" s="346"/>
      <c r="X214" s="342"/>
      <c r="Y214" s="342"/>
      <c r="Z214" s="342"/>
      <c r="AA214" s="342"/>
      <c r="AB214" s="344"/>
      <c r="AC214" s="346"/>
      <c r="AD214" s="342"/>
      <c r="AE214" s="342"/>
      <c r="AF214" s="342"/>
      <c r="AG214" s="342"/>
      <c r="AH214" s="344"/>
      <c r="AI214" s="346">
        <v>8</v>
      </c>
      <c r="AJ214" s="342"/>
      <c r="AK214" s="344"/>
      <c r="AL214" s="337"/>
      <c r="AM214" s="54" t="s">
        <v>97</v>
      </c>
      <c r="AN214" s="176"/>
      <c r="AO214" s="179" t="s">
        <v>212</v>
      </c>
      <c r="AP214" s="177"/>
      <c r="AQ214" s="337"/>
      <c r="AR214" s="54" t="s">
        <v>97</v>
      </c>
      <c r="AS214" s="176"/>
      <c r="AT214" s="179" t="s">
        <v>212</v>
      </c>
      <c r="AU214" s="177"/>
    </row>
    <row r="215" spans="1:47" ht="16.5" customHeight="1">
      <c r="A215" s="329"/>
      <c r="B215" s="330"/>
      <c r="C215" s="15" t="s">
        <v>40</v>
      </c>
      <c r="D215" s="19"/>
      <c r="E215" s="15" t="s">
        <v>51</v>
      </c>
      <c r="F215" s="18"/>
      <c r="G215" s="155">
        <v>7</v>
      </c>
      <c r="H215" s="182"/>
      <c r="I215" s="12"/>
      <c r="J215" s="27"/>
      <c r="K215" s="15" t="s">
        <v>61</v>
      </c>
      <c r="L215" s="11"/>
      <c r="M215" s="33"/>
      <c r="N215" s="34"/>
      <c r="O215" s="15" t="s">
        <v>61</v>
      </c>
      <c r="P215" s="11"/>
      <c r="Q215" s="33"/>
      <c r="R215" s="34"/>
      <c r="S215" s="15" t="s">
        <v>61</v>
      </c>
      <c r="T215" s="11"/>
      <c r="U215" s="33"/>
      <c r="V215" s="38"/>
      <c r="W215" s="346"/>
      <c r="X215" s="342"/>
      <c r="Y215" s="342"/>
      <c r="Z215" s="342"/>
      <c r="AA215" s="342"/>
      <c r="AB215" s="344"/>
      <c r="AC215" s="346"/>
      <c r="AD215" s="342"/>
      <c r="AE215" s="342"/>
      <c r="AF215" s="342"/>
      <c r="AG215" s="342"/>
      <c r="AH215" s="344"/>
      <c r="AI215" s="346"/>
      <c r="AJ215" s="342"/>
      <c r="AK215" s="344"/>
      <c r="AL215" s="337"/>
      <c r="AM215" s="54" t="s">
        <v>98</v>
      </c>
      <c r="AN215" s="56"/>
      <c r="AO215" s="54" t="s">
        <v>13</v>
      </c>
      <c r="AP215" s="59"/>
      <c r="AQ215" s="337"/>
      <c r="AR215" s="54" t="s">
        <v>98</v>
      </c>
      <c r="AS215" s="56"/>
      <c r="AT215" s="54" t="s">
        <v>13</v>
      </c>
      <c r="AU215" s="59"/>
    </row>
    <row r="216" spans="1:47" ht="16.5" customHeight="1">
      <c r="A216" s="329"/>
      <c r="B216" s="330"/>
      <c r="C216" s="15" t="s">
        <v>41</v>
      </c>
      <c r="D216" s="19"/>
      <c r="E216" s="15" t="s">
        <v>52</v>
      </c>
      <c r="F216" s="18"/>
      <c r="G216" s="155">
        <v>8</v>
      </c>
      <c r="H216" s="185"/>
      <c r="I216" s="25"/>
      <c r="J216" s="29"/>
      <c r="K216" s="15" t="s">
        <v>62</v>
      </c>
      <c r="L216" s="11"/>
      <c r="M216" s="33"/>
      <c r="N216" s="34"/>
      <c r="O216" s="15" t="s">
        <v>62</v>
      </c>
      <c r="P216" s="11"/>
      <c r="Q216" s="33"/>
      <c r="R216" s="34"/>
      <c r="S216" s="15" t="s">
        <v>62</v>
      </c>
      <c r="T216" s="11"/>
      <c r="U216" s="33"/>
      <c r="V216" s="38"/>
      <c r="W216" s="346"/>
      <c r="X216" s="342"/>
      <c r="Y216" s="342"/>
      <c r="Z216" s="342"/>
      <c r="AA216" s="342"/>
      <c r="AB216" s="344"/>
      <c r="AC216" s="346"/>
      <c r="AD216" s="342"/>
      <c r="AE216" s="342"/>
      <c r="AF216" s="342"/>
      <c r="AG216" s="342"/>
      <c r="AH216" s="344"/>
      <c r="AI216" s="356"/>
      <c r="AJ216" s="343"/>
      <c r="AK216" s="345"/>
      <c r="AL216" s="337"/>
      <c r="AM216" s="54" t="s">
        <v>99</v>
      </c>
      <c r="AN216" s="57"/>
      <c r="AO216" s="54" t="s">
        <v>13</v>
      </c>
      <c r="AP216" s="60"/>
      <c r="AQ216" s="337"/>
      <c r="AR216" s="54" t="s">
        <v>99</v>
      </c>
      <c r="AS216" s="57"/>
      <c r="AT216" s="54" t="s">
        <v>13</v>
      </c>
      <c r="AU216" s="60"/>
    </row>
    <row r="217" spans="1:47" ht="16.5" customHeight="1">
      <c r="A217" s="329"/>
      <c r="B217" s="330"/>
      <c r="C217" s="15" t="s">
        <v>42</v>
      </c>
      <c r="D217" s="19"/>
      <c r="E217" s="16" t="s">
        <v>53</v>
      </c>
      <c r="F217" s="22"/>
      <c r="G217" s="160"/>
      <c r="H217" s="186"/>
      <c r="I217" s="161"/>
      <c r="J217" s="161"/>
      <c r="K217" s="15" t="s">
        <v>63</v>
      </c>
      <c r="L217" s="11"/>
      <c r="M217" s="33"/>
      <c r="N217" s="34"/>
      <c r="O217" s="15" t="s">
        <v>63</v>
      </c>
      <c r="P217" s="11"/>
      <c r="Q217" s="33"/>
      <c r="R217" s="34"/>
      <c r="S217" s="15" t="s">
        <v>63</v>
      </c>
      <c r="T217" s="11"/>
      <c r="U217" s="33"/>
      <c r="V217" s="38"/>
      <c r="W217" s="356"/>
      <c r="X217" s="343"/>
      <c r="Y217" s="343"/>
      <c r="Z217" s="343"/>
      <c r="AA217" s="343"/>
      <c r="AB217" s="345"/>
      <c r="AC217" s="356"/>
      <c r="AD217" s="343"/>
      <c r="AE217" s="343"/>
      <c r="AF217" s="343"/>
      <c r="AG217" s="343"/>
      <c r="AH217" s="345"/>
      <c r="AI217" s="172"/>
      <c r="AJ217" s="173"/>
      <c r="AK217" s="174"/>
      <c r="AL217" s="338"/>
      <c r="AM217" s="55" t="s">
        <v>100</v>
      </c>
      <c r="AN217" s="58"/>
      <c r="AO217" s="55" t="s">
        <v>101</v>
      </c>
      <c r="AP217" s="61"/>
      <c r="AQ217" s="338"/>
      <c r="AR217" s="55" t="s">
        <v>100</v>
      </c>
      <c r="AS217" s="58"/>
      <c r="AT217" s="55" t="s">
        <v>101</v>
      </c>
      <c r="AU217" s="61"/>
    </row>
    <row r="218" spans="1:47" ht="16.5" customHeight="1">
      <c r="A218" s="329"/>
      <c r="B218" s="330"/>
      <c r="C218" s="16" t="s">
        <v>43</v>
      </c>
      <c r="D218" s="21"/>
      <c r="E218" s="189" t="s">
        <v>293</v>
      </c>
      <c r="F218" s="190" t="s">
        <v>186</v>
      </c>
      <c r="G218" s="162"/>
      <c r="H218" s="187"/>
      <c r="I218" s="163"/>
      <c r="J218" s="163"/>
      <c r="K218" s="30" t="s">
        <v>64</v>
      </c>
      <c r="L218" s="24"/>
      <c r="M218" s="35"/>
      <c r="N218" s="36"/>
      <c r="O218" s="30" t="s">
        <v>64</v>
      </c>
      <c r="P218" s="24"/>
      <c r="Q218" s="35"/>
      <c r="R218" s="36"/>
      <c r="S218" s="30" t="s">
        <v>64</v>
      </c>
      <c r="T218" s="24"/>
      <c r="U218" s="35"/>
      <c r="V218" s="39"/>
      <c r="W218" s="156"/>
      <c r="X218" s="157"/>
      <c r="Y218" s="165"/>
      <c r="Z218" s="165"/>
      <c r="AA218" s="166"/>
      <c r="AB218" s="167"/>
      <c r="AC218" s="168"/>
      <c r="AD218" s="169"/>
      <c r="AE218" s="170"/>
      <c r="AF218" s="170"/>
      <c r="AG218" s="170"/>
      <c r="AH218" s="171"/>
      <c r="AI218" s="168"/>
      <c r="AJ218" s="169"/>
      <c r="AK218" s="171"/>
      <c r="AL218" s="175"/>
      <c r="AM218" s="158"/>
      <c r="AN218" s="158"/>
      <c r="AO218" s="158"/>
      <c r="AP218" s="159"/>
      <c r="AQ218" s="175"/>
      <c r="AR218" s="158"/>
      <c r="AS218" s="158"/>
      <c r="AT218" s="158"/>
      <c r="AU218" s="159"/>
    </row>
    <row r="219" spans="1:47" ht="16.5" customHeight="1"/>
    <row r="220" spans="1:47" ht="16.5" customHeight="1">
      <c r="A220" s="329">
        <v>19</v>
      </c>
      <c r="B220" s="330" t="s">
        <v>267</v>
      </c>
      <c r="C220" s="14" t="s">
        <v>45</v>
      </c>
      <c r="D220" s="52"/>
      <c r="E220" s="14" t="s">
        <v>46</v>
      </c>
      <c r="F220" s="17"/>
      <c r="G220" s="149">
        <v>6</v>
      </c>
      <c r="H220" s="181"/>
      <c r="I220" s="10"/>
      <c r="J220" s="26"/>
      <c r="K220" s="14" t="s">
        <v>54</v>
      </c>
      <c r="L220" s="9"/>
      <c r="M220" s="31"/>
      <c r="N220" s="32"/>
      <c r="O220" s="14" t="s">
        <v>54</v>
      </c>
      <c r="P220" s="9"/>
      <c r="Q220" s="31"/>
      <c r="R220" s="32"/>
      <c r="S220" s="14" t="s">
        <v>54</v>
      </c>
      <c r="T220" s="9"/>
      <c r="U220" s="31"/>
      <c r="V220" s="37"/>
      <c r="W220" s="353"/>
      <c r="X220" s="354"/>
      <c r="Y220" s="354"/>
      <c r="Z220" s="354"/>
      <c r="AA220" s="354"/>
      <c r="AB220" s="355"/>
      <c r="AC220" s="353"/>
      <c r="AD220" s="354"/>
      <c r="AE220" s="354"/>
      <c r="AF220" s="354"/>
      <c r="AG220" s="354"/>
      <c r="AH220" s="355"/>
      <c r="AI220" s="353">
        <v>6</v>
      </c>
      <c r="AJ220" s="354"/>
      <c r="AK220" s="355"/>
      <c r="AL220" s="336">
        <v>1</v>
      </c>
      <c r="AM220" s="53" t="s">
        <v>0</v>
      </c>
      <c r="AN220" s="339"/>
      <c r="AO220" s="340"/>
      <c r="AP220" s="341"/>
      <c r="AQ220" s="336">
        <v>3</v>
      </c>
      <c r="AR220" s="53" t="s">
        <v>0</v>
      </c>
      <c r="AS220" s="339"/>
      <c r="AT220" s="340"/>
      <c r="AU220" s="341"/>
    </row>
    <row r="221" spans="1:47" ht="16.5" customHeight="1">
      <c r="A221" s="329"/>
      <c r="B221" s="330"/>
      <c r="C221" s="15" t="s">
        <v>36</v>
      </c>
      <c r="D221" s="19"/>
      <c r="E221" s="15" t="s">
        <v>73</v>
      </c>
      <c r="F221" s="18"/>
      <c r="G221" s="150">
        <v>7</v>
      </c>
      <c r="H221" s="182"/>
      <c r="I221" s="12"/>
      <c r="J221" s="27"/>
      <c r="K221" s="15" t="s">
        <v>55</v>
      </c>
      <c r="L221" s="11"/>
      <c r="M221" s="33"/>
      <c r="N221" s="34"/>
      <c r="O221" s="15" t="s">
        <v>55</v>
      </c>
      <c r="P221" s="11"/>
      <c r="Q221" s="33"/>
      <c r="R221" s="34"/>
      <c r="S221" s="15" t="s">
        <v>55</v>
      </c>
      <c r="T221" s="11"/>
      <c r="U221" s="33"/>
      <c r="V221" s="38"/>
      <c r="W221" s="346"/>
      <c r="X221" s="342"/>
      <c r="Y221" s="342"/>
      <c r="Z221" s="342"/>
      <c r="AA221" s="342"/>
      <c r="AB221" s="344"/>
      <c r="AC221" s="346"/>
      <c r="AD221" s="342"/>
      <c r="AE221" s="342"/>
      <c r="AF221" s="342"/>
      <c r="AG221" s="342"/>
      <c r="AH221" s="344"/>
      <c r="AI221" s="346"/>
      <c r="AJ221" s="342"/>
      <c r="AK221" s="344"/>
      <c r="AL221" s="337"/>
      <c r="AM221" s="54" t="s">
        <v>97</v>
      </c>
      <c r="AN221" s="176"/>
      <c r="AO221" s="54" t="s">
        <v>212</v>
      </c>
      <c r="AP221" s="178"/>
      <c r="AQ221" s="337"/>
      <c r="AR221" s="54" t="s">
        <v>97</v>
      </c>
      <c r="AS221" s="176"/>
      <c r="AT221" s="179" t="s">
        <v>212</v>
      </c>
      <c r="AU221" s="177"/>
    </row>
    <row r="222" spans="1:47" ht="16.5" customHeight="1">
      <c r="A222" s="329"/>
      <c r="B222" s="330"/>
      <c r="C222" s="15" t="s">
        <v>37</v>
      </c>
      <c r="D222" s="20"/>
      <c r="E222" s="15" t="s">
        <v>47</v>
      </c>
      <c r="F222" s="18"/>
      <c r="G222" s="150">
        <v>8</v>
      </c>
      <c r="H222" s="183"/>
      <c r="I222" s="13"/>
      <c r="J222" s="28"/>
      <c r="K222" s="15" t="s">
        <v>56</v>
      </c>
      <c r="L222" s="11"/>
      <c r="M222" s="33"/>
      <c r="N222" s="34"/>
      <c r="O222" s="15" t="s">
        <v>56</v>
      </c>
      <c r="P222" s="11"/>
      <c r="Q222" s="33"/>
      <c r="R222" s="34"/>
      <c r="S222" s="15" t="s">
        <v>56</v>
      </c>
      <c r="T222" s="11"/>
      <c r="U222" s="33"/>
      <c r="V222" s="38"/>
      <c r="W222" s="346"/>
      <c r="X222" s="342"/>
      <c r="Y222" s="342"/>
      <c r="Z222" s="342"/>
      <c r="AA222" s="342"/>
      <c r="AB222" s="344"/>
      <c r="AC222" s="346"/>
      <c r="AD222" s="342"/>
      <c r="AE222" s="342"/>
      <c r="AF222" s="342"/>
      <c r="AG222" s="342"/>
      <c r="AH222" s="344"/>
      <c r="AI222" s="346"/>
      <c r="AJ222" s="342"/>
      <c r="AK222" s="344"/>
      <c r="AL222" s="337"/>
      <c r="AM222" s="54" t="s">
        <v>98</v>
      </c>
      <c r="AN222" s="56"/>
      <c r="AO222" s="54" t="s">
        <v>13</v>
      </c>
      <c r="AP222" s="59"/>
      <c r="AQ222" s="337"/>
      <c r="AR222" s="54" t="s">
        <v>98</v>
      </c>
      <c r="AS222" s="56"/>
      <c r="AT222" s="54" t="s">
        <v>13</v>
      </c>
      <c r="AU222" s="59"/>
    </row>
    <row r="223" spans="1:47" ht="16.5" customHeight="1">
      <c r="A223" s="329"/>
      <c r="B223" s="330"/>
      <c r="C223" s="15" t="s">
        <v>44</v>
      </c>
      <c r="D223" s="19"/>
      <c r="E223" s="15" t="s">
        <v>65</v>
      </c>
      <c r="F223" s="18"/>
      <c r="G223" s="153"/>
      <c r="H223" s="184"/>
      <c r="I223" s="23"/>
      <c r="J223" s="23"/>
      <c r="K223" s="15" t="s">
        <v>57</v>
      </c>
      <c r="L223" s="11"/>
      <c r="M223" s="33"/>
      <c r="N223" s="34"/>
      <c r="O223" s="15" t="s">
        <v>57</v>
      </c>
      <c r="P223" s="11"/>
      <c r="Q223" s="33"/>
      <c r="R223" s="34"/>
      <c r="S223" s="15" t="s">
        <v>57</v>
      </c>
      <c r="T223" s="11"/>
      <c r="U223" s="33"/>
      <c r="V223" s="38"/>
      <c r="W223" s="346"/>
      <c r="X223" s="342"/>
      <c r="Y223" s="342"/>
      <c r="Z223" s="342"/>
      <c r="AA223" s="342"/>
      <c r="AB223" s="344"/>
      <c r="AC223" s="346"/>
      <c r="AD223" s="342"/>
      <c r="AE223" s="342"/>
      <c r="AF223" s="342"/>
      <c r="AG223" s="342"/>
      <c r="AH223" s="344"/>
      <c r="AI223" s="346">
        <v>7</v>
      </c>
      <c r="AJ223" s="342"/>
      <c r="AK223" s="344"/>
      <c r="AL223" s="337"/>
      <c r="AM223" s="54" t="s">
        <v>99</v>
      </c>
      <c r="AN223" s="57"/>
      <c r="AO223" s="54" t="s">
        <v>13</v>
      </c>
      <c r="AP223" s="60"/>
      <c r="AQ223" s="337"/>
      <c r="AR223" s="54" t="s">
        <v>99</v>
      </c>
      <c r="AS223" s="57"/>
      <c r="AT223" s="54" t="s">
        <v>13</v>
      </c>
      <c r="AU223" s="60"/>
    </row>
    <row r="224" spans="1:47" ht="16.5" customHeight="1">
      <c r="A224" s="329"/>
      <c r="B224" s="330"/>
      <c r="C224" s="15" t="s">
        <v>229</v>
      </c>
      <c r="D224" s="4"/>
      <c r="E224" s="15" t="s">
        <v>48</v>
      </c>
      <c r="F224" s="18"/>
      <c r="G224" s="331" t="s">
        <v>12</v>
      </c>
      <c r="H224" s="332"/>
      <c r="I224" s="332"/>
      <c r="J224" s="332"/>
      <c r="K224" s="15" t="s">
        <v>58</v>
      </c>
      <c r="L224" s="11"/>
      <c r="M224" s="33"/>
      <c r="N224" s="34"/>
      <c r="O224" s="15" t="s">
        <v>58</v>
      </c>
      <c r="P224" s="11"/>
      <c r="Q224" s="33"/>
      <c r="R224" s="34"/>
      <c r="S224" s="15" t="s">
        <v>58</v>
      </c>
      <c r="T224" s="11"/>
      <c r="U224" s="33"/>
      <c r="V224" s="38"/>
      <c r="W224" s="346"/>
      <c r="X224" s="342"/>
      <c r="Y224" s="342"/>
      <c r="Z224" s="342"/>
      <c r="AA224" s="342"/>
      <c r="AB224" s="344"/>
      <c r="AC224" s="346"/>
      <c r="AD224" s="342"/>
      <c r="AE224" s="342"/>
      <c r="AF224" s="342"/>
      <c r="AG224" s="342"/>
      <c r="AH224" s="344"/>
      <c r="AI224" s="346"/>
      <c r="AJ224" s="342"/>
      <c r="AK224" s="344"/>
      <c r="AL224" s="338"/>
      <c r="AM224" s="55" t="s">
        <v>100</v>
      </c>
      <c r="AN224" s="58"/>
      <c r="AO224" s="55" t="s">
        <v>101</v>
      </c>
      <c r="AP224" s="61"/>
      <c r="AQ224" s="338"/>
      <c r="AR224" s="55" t="s">
        <v>100</v>
      </c>
      <c r="AS224" s="58"/>
      <c r="AT224" s="55" t="s">
        <v>101</v>
      </c>
      <c r="AU224" s="61"/>
    </row>
    <row r="225" spans="1:47" ht="16.5" customHeight="1">
      <c r="A225" s="329"/>
      <c r="B225" s="330"/>
      <c r="C225" s="15" t="s">
        <v>38</v>
      </c>
      <c r="D225" s="19"/>
      <c r="E225" s="15" t="s">
        <v>49</v>
      </c>
      <c r="F225" s="18"/>
      <c r="G225" s="8" t="s">
        <v>13</v>
      </c>
      <c r="H225" s="180" t="s">
        <v>14</v>
      </c>
      <c r="I225" s="6" t="s">
        <v>15</v>
      </c>
      <c r="J225" s="6" t="s">
        <v>16</v>
      </c>
      <c r="K225" s="15" t="s">
        <v>59</v>
      </c>
      <c r="L225" s="11"/>
      <c r="M225" s="33"/>
      <c r="N225" s="34"/>
      <c r="O225" s="15" t="s">
        <v>59</v>
      </c>
      <c r="P225" s="11"/>
      <c r="Q225" s="33"/>
      <c r="R225" s="34"/>
      <c r="S225" s="15" t="s">
        <v>59</v>
      </c>
      <c r="T225" s="11"/>
      <c r="U225" s="33"/>
      <c r="V225" s="38"/>
      <c r="W225" s="346"/>
      <c r="X225" s="342"/>
      <c r="Y225" s="342"/>
      <c r="Z225" s="342"/>
      <c r="AA225" s="342"/>
      <c r="AB225" s="344"/>
      <c r="AC225" s="346"/>
      <c r="AD225" s="342"/>
      <c r="AE225" s="342"/>
      <c r="AF225" s="342"/>
      <c r="AG225" s="342"/>
      <c r="AH225" s="344"/>
      <c r="AI225" s="346"/>
      <c r="AJ225" s="342"/>
      <c r="AK225" s="344"/>
      <c r="AL225" s="336">
        <v>2</v>
      </c>
      <c r="AM225" s="53" t="s">
        <v>0</v>
      </c>
      <c r="AN225" s="339"/>
      <c r="AO225" s="340"/>
      <c r="AP225" s="341"/>
      <c r="AQ225" s="336">
        <v>4</v>
      </c>
      <c r="AR225" s="53" t="s">
        <v>0</v>
      </c>
      <c r="AS225" s="339"/>
      <c r="AT225" s="340"/>
      <c r="AU225" s="341"/>
    </row>
    <row r="226" spans="1:47" ht="16.5" customHeight="1">
      <c r="A226" s="329"/>
      <c r="B226" s="330"/>
      <c r="C226" s="15" t="s">
        <v>39</v>
      </c>
      <c r="D226" s="19"/>
      <c r="E226" s="15" t="s">
        <v>50</v>
      </c>
      <c r="F226" s="18"/>
      <c r="G226" s="154">
        <v>6</v>
      </c>
      <c r="H226" s="181"/>
      <c r="I226" s="10"/>
      <c r="J226" s="26"/>
      <c r="K226" s="15" t="s">
        <v>60</v>
      </c>
      <c r="L226" s="11"/>
      <c r="M226" s="33"/>
      <c r="N226" s="34"/>
      <c r="O226" s="15" t="s">
        <v>60</v>
      </c>
      <c r="P226" s="11"/>
      <c r="Q226" s="33"/>
      <c r="R226" s="34"/>
      <c r="S226" s="15" t="s">
        <v>60</v>
      </c>
      <c r="T226" s="11"/>
      <c r="U226" s="33"/>
      <c r="V226" s="38"/>
      <c r="W226" s="346"/>
      <c r="X226" s="342"/>
      <c r="Y226" s="342"/>
      <c r="Z226" s="342"/>
      <c r="AA226" s="342"/>
      <c r="AB226" s="344"/>
      <c r="AC226" s="346"/>
      <c r="AD226" s="342"/>
      <c r="AE226" s="342"/>
      <c r="AF226" s="342"/>
      <c r="AG226" s="342"/>
      <c r="AH226" s="344"/>
      <c r="AI226" s="346">
        <v>8</v>
      </c>
      <c r="AJ226" s="342"/>
      <c r="AK226" s="344"/>
      <c r="AL226" s="337"/>
      <c r="AM226" s="54" t="s">
        <v>97</v>
      </c>
      <c r="AN226" s="176"/>
      <c r="AO226" s="179" t="s">
        <v>212</v>
      </c>
      <c r="AP226" s="177"/>
      <c r="AQ226" s="337"/>
      <c r="AR226" s="54" t="s">
        <v>97</v>
      </c>
      <c r="AS226" s="176"/>
      <c r="AT226" s="179" t="s">
        <v>212</v>
      </c>
      <c r="AU226" s="177"/>
    </row>
    <row r="227" spans="1:47" ht="16.5" customHeight="1">
      <c r="A227" s="329"/>
      <c r="B227" s="330"/>
      <c r="C227" s="15" t="s">
        <v>40</v>
      </c>
      <c r="D227" s="19"/>
      <c r="E227" s="15" t="s">
        <v>51</v>
      </c>
      <c r="F227" s="18"/>
      <c r="G227" s="155">
        <v>7</v>
      </c>
      <c r="H227" s="182"/>
      <c r="I227" s="12"/>
      <c r="J227" s="27"/>
      <c r="K227" s="15" t="s">
        <v>61</v>
      </c>
      <c r="L227" s="11"/>
      <c r="M227" s="33"/>
      <c r="N227" s="34"/>
      <c r="O227" s="15" t="s">
        <v>61</v>
      </c>
      <c r="P227" s="11"/>
      <c r="Q227" s="33"/>
      <c r="R227" s="34"/>
      <c r="S227" s="15" t="s">
        <v>61</v>
      </c>
      <c r="T227" s="11"/>
      <c r="U227" s="33"/>
      <c r="V227" s="38"/>
      <c r="W227" s="346"/>
      <c r="X227" s="342"/>
      <c r="Y227" s="342"/>
      <c r="Z227" s="342"/>
      <c r="AA227" s="342"/>
      <c r="AB227" s="344"/>
      <c r="AC227" s="346"/>
      <c r="AD227" s="342"/>
      <c r="AE227" s="342"/>
      <c r="AF227" s="342"/>
      <c r="AG227" s="342"/>
      <c r="AH227" s="344"/>
      <c r="AI227" s="346"/>
      <c r="AJ227" s="342"/>
      <c r="AK227" s="344"/>
      <c r="AL227" s="337"/>
      <c r="AM227" s="54" t="s">
        <v>98</v>
      </c>
      <c r="AN227" s="56"/>
      <c r="AO227" s="54" t="s">
        <v>13</v>
      </c>
      <c r="AP227" s="59"/>
      <c r="AQ227" s="337"/>
      <c r="AR227" s="54" t="s">
        <v>98</v>
      </c>
      <c r="AS227" s="56"/>
      <c r="AT227" s="54" t="s">
        <v>13</v>
      </c>
      <c r="AU227" s="59"/>
    </row>
    <row r="228" spans="1:47" ht="16.5" customHeight="1">
      <c r="A228" s="329"/>
      <c r="B228" s="330"/>
      <c r="C228" s="15" t="s">
        <v>41</v>
      </c>
      <c r="D228" s="19"/>
      <c r="E228" s="15" t="s">
        <v>52</v>
      </c>
      <c r="F228" s="18"/>
      <c r="G228" s="155">
        <v>8</v>
      </c>
      <c r="H228" s="185"/>
      <c r="I228" s="25"/>
      <c r="J228" s="29"/>
      <c r="K228" s="15" t="s">
        <v>62</v>
      </c>
      <c r="L228" s="11"/>
      <c r="M228" s="33"/>
      <c r="N228" s="34"/>
      <c r="O228" s="15" t="s">
        <v>62</v>
      </c>
      <c r="P228" s="11"/>
      <c r="Q228" s="33"/>
      <c r="R228" s="34"/>
      <c r="S228" s="15" t="s">
        <v>62</v>
      </c>
      <c r="T228" s="11"/>
      <c r="U228" s="33"/>
      <c r="V228" s="38"/>
      <c r="W228" s="346"/>
      <c r="X228" s="342"/>
      <c r="Y228" s="342"/>
      <c r="Z228" s="342"/>
      <c r="AA228" s="342"/>
      <c r="AB228" s="344"/>
      <c r="AC228" s="346"/>
      <c r="AD228" s="342"/>
      <c r="AE228" s="342"/>
      <c r="AF228" s="342"/>
      <c r="AG228" s="342"/>
      <c r="AH228" s="344"/>
      <c r="AI228" s="356"/>
      <c r="AJ228" s="343"/>
      <c r="AK228" s="345"/>
      <c r="AL228" s="337"/>
      <c r="AM228" s="54" t="s">
        <v>99</v>
      </c>
      <c r="AN228" s="57"/>
      <c r="AO228" s="54" t="s">
        <v>13</v>
      </c>
      <c r="AP228" s="60"/>
      <c r="AQ228" s="337"/>
      <c r="AR228" s="54" t="s">
        <v>99</v>
      </c>
      <c r="AS228" s="57"/>
      <c r="AT228" s="54" t="s">
        <v>13</v>
      </c>
      <c r="AU228" s="60"/>
    </row>
    <row r="229" spans="1:47" ht="16.5" customHeight="1">
      <c r="A229" s="329"/>
      <c r="B229" s="330"/>
      <c r="C229" s="15" t="s">
        <v>42</v>
      </c>
      <c r="D229" s="19"/>
      <c r="E229" s="16" t="s">
        <v>53</v>
      </c>
      <c r="F229" s="22"/>
      <c r="G229" s="160"/>
      <c r="H229" s="186"/>
      <c r="I229" s="161"/>
      <c r="J229" s="161"/>
      <c r="K229" s="15" t="s">
        <v>63</v>
      </c>
      <c r="L229" s="11"/>
      <c r="M229" s="33"/>
      <c r="N229" s="34"/>
      <c r="O229" s="15" t="s">
        <v>63</v>
      </c>
      <c r="P229" s="11"/>
      <c r="Q229" s="33"/>
      <c r="R229" s="34"/>
      <c r="S229" s="15" t="s">
        <v>63</v>
      </c>
      <c r="T229" s="11"/>
      <c r="U229" s="33"/>
      <c r="V229" s="38"/>
      <c r="W229" s="356"/>
      <c r="X229" s="343"/>
      <c r="Y229" s="343"/>
      <c r="Z229" s="343"/>
      <c r="AA229" s="343"/>
      <c r="AB229" s="345"/>
      <c r="AC229" s="356"/>
      <c r="AD229" s="343"/>
      <c r="AE229" s="343"/>
      <c r="AF229" s="343"/>
      <c r="AG229" s="343"/>
      <c r="AH229" s="345"/>
      <c r="AI229" s="172"/>
      <c r="AJ229" s="173"/>
      <c r="AK229" s="174"/>
      <c r="AL229" s="338"/>
      <c r="AM229" s="55" t="s">
        <v>100</v>
      </c>
      <c r="AN229" s="58"/>
      <c r="AO229" s="55" t="s">
        <v>101</v>
      </c>
      <c r="AP229" s="61"/>
      <c r="AQ229" s="338"/>
      <c r="AR229" s="55" t="s">
        <v>100</v>
      </c>
      <c r="AS229" s="58"/>
      <c r="AT229" s="55" t="s">
        <v>101</v>
      </c>
      <c r="AU229" s="61"/>
    </row>
    <row r="230" spans="1:47" ht="16.5" customHeight="1">
      <c r="A230" s="329"/>
      <c r="B230" s="330"/>
      <c r="C230" s="16" t="s">
        <v>43</v>
      </c>
      <c r="D230" s="21"/>
      <c r="E230" s="189" t="s">
        <v>293</v>
      </c>
      <c r="F230" s="190" t="s">
        <v>186</v>
      </c>
      <c r="G230" s="162"/>
      <c r="H230" s="187"/>
      <c r="I230" s="163"/>
      <c r="J230" s="163"/>
      <c r="K230" s="30" t="s">
        <v>64</v>
      </c>
      <c r="L230" s="24"/>
      <c r="M230" s="35"/>
      <c r="N230" s="36"/>
      <c r="O230" s="30" t="s">
        <v>64</v>
      </c>
      <c r="P230" s="24"/>
      <c r="Q230" s="35"/>
      <c r="R230" s="36"/>
      <c r="S230" s="30" t="s">
        <v>64</v>
      </c>
      <c r="T230" s="24"/>
      <c r="U230" s="35"/>
      <c r="V230" s="39"/>
      <c r="W230" s="156"/>
      <c r="X230" s="157"/>
      <c r="Y230" s="165"/>
      <c r="Z230" s="165"/>
      <c r="AA230" s="166"/>
      <c r="AB230" s="167"/>
      <c r="AC230" s="168"/>
      <c r="AD230" s="169"/>
      <c r="AE230" s="170"/>
      <c r="AF230" s="170"/>
      <c r="AG230" s="170"/>
      <c r="AH230" s="171"/>
      <c r="AI230" s="168"/>
      <c r="AJ230" s="169"/>
      <c r="AK230" s="171"/>
      <c r="AL230" s="175"/>
      <c r="AM230" s="158"/>
      <c r="AN230" s="158"/>
      <c r="AO230" s="158"/>
      <c r="AP230" s="159"/>
      <c r="AQ230" s="175"/>
      <c r="AR230" s="158"/>
      <c r="AS230" s="158"/>
      <c r="AT230" s="158"/>
      <c r="AU230" s="159"/>
    </row>
    <row r="231" spans="1:47" ht="16.5" customHeight="1"/>
    <row r="232" spans="1:47" ht="16.5" customHeight="1">
      <c r="A232" s="329">
        <v>20</v>
      </c>
      <c r="B232" s="330" t="s">
        <v>268</v>
      </c>
      <c r="C232" s="14" t="s">
        <v>45</v>
      </c>
      <c r="D232" s="52"/>
      <c r="E232" s="14" t="s">
        <v>46</v>
      </c>
      <c r="F232" s="17"/>
      <c r="G232" s="149">
        <v>6</v>
      </c>
      <c r="H232" s="181"/>
      <c r="I232" s="10"/>
      <c r="J232" s="26"/>
      <c r="K232" s="14" t="s">
        <v>54</v>
      </c>
      <c r="L232" s="9"/>
      <c r="M232" s="31"/>
      <c r="N232" s="32"/>
      <c r="O232" s="14" t="s">
        <v>54</v>
      </c>
      <c r="P232" s="9"/>
      <c r="Q232" s="31"/>
      <c r="R232" s="32"/>
      <c r="S232" s="14" t="s">
        <v>54</v>
      </c>
      <c r="T232" s="9"/>
      <c r="U232" s="31"/>
      <c r="V232" s="37"/>
      <c r="W232" s="353"/>
      <c r="X232" s="354"/>
      <c r="Y232" s="354"/>
      <c r="Z232" s="354"/>
      <c r="AA232" s="354"/>
      <c r="AB232" s="355"/>
      <c r="AC232" s="353"/>
      <c r="AD232" s="354"/>
      <c r="AE232" s="354"/>
      <c r="AF232" s="354"/>
      <c r="AG232" s="354"/>
      <c r="AH232" s="355"/>
      <c r="AI232" s="353">
        <v>6</v>
      </c>
      <c r="AJ232" s="354"/>
      <c r="AK232" s="355"/>
      <c r="AL232" s="336">
        <v>1</v>
      </c>
      <c r="AM232" s="53" t="s">
        <v>0</v>
      </c>
      <c r="AN232" s="339"/>
      <c r="AO232" s="340"/>
      <c r="AP232" s="341"/>
      <c r="AQ232" s="336">
        <v>3</v>
      </c>
      <c r="AR232" s="53" t="s">
        <v>0</v>
      </c>
      <c r="AS232" s="339"/>
      <c r="AT232" s="340"/>
      <c r="AU232" s="341"/>
    </row>
    <row r="233" spans="1:47" ht="16.5" customHeight="1">
      <c r="A233" s="329"/>
      <c r="B233" s="330"/>
      <c r="C233" s="15" t="s">
        <v>36</v>
      </c>
      <c r="D233" s="19"/>
      <c r="E233" s="15" t="s">
        <v>73</v>
      </c>
      <c r="F233" s="18"/>
      <c r="G233" s="150">
        <v>7</v>
      </c>
      <c r="H233" s="182"/>
      <c r="I233" s="12"/>
      <c r="J233" s="27"/>
      <c r="K233" s="15" t="s">
        <v>55</v>
      </c>
      <c r="L233" s="11"/>
      <c r="M233" s="33"/>
      <c r="N233" s="34"/>
      <c r="O233" s="15" t="s">
        <v>55</v>
      </c>
      <c r="P233" s="11"/>
      <c r="Q233" s="33"/>
      <c r="R233" s="34"/>
      <c r="S233" s="15" t="s">
        <v>55</v>
      </c>
      <c r="T233" s="11"/>
      <c r="U233" s="33"/>
      <c r="V233" s="38"/>
      <c r="W233" s="346"/>
      <c r="X233" s="342"/>
      <c r="Y233" s="342"/>
      <c r="Z233" s="342"/>
      <c r="AA233" s="342"/>
      <c r="AB233" s="344"/>
      <c r="AC233" s="346"/>
      <c r="AD233" s="342"/>
      <c r="AE233" s="342"/>
      <c r="AF233" s="342"/>
      <c r="AG233" s="342"/>
      <c r="AH233" s="344"/>
      <c r="AI233" s="346"/>
      <c r="AJ233" s="342"/>
      <c r="AK233" s="344"/>
      <c r="AL233" s="337"/>
      <c r="AM233" s="54" t="s">
        <v>97</v>
      </c>
      <c r="AN233" s="176"/>
      <c r="AO233" s="54" t="s">
        <v>212</v>
      </c>
      <c r="AP233" s="178"/>
      <c r="AQ233" s="337"/>
      <c r="AR233" s="54" t="s">
        <v>97</v>
      </c>
      <c r="AS233" s="176"/>
      <c r="AT233" s="179" t="s">
        <v>212</v>
      </c>
      <c r="AU233" s="177"/>
    </row>
    <row r="234" spans="1:47" ht="16.5" customHeight="1">
      <c r="A234" s="329"/>
      <c r="B234" s="330"/>
      <c r="C234" s="15" t="s">
        <v>37</v>
      </c>
      <c r="D234" s="20"/>
      <c r="E234" s="15" t="s">
        <v>47</v>
      </c>
      <c r="F234" s="18"/>
      <c r="G234" s="150">
        <v>8</v>
      </c>
      <c r="H234" s="183"/>
      <c r="I234" s="13"/>
      <c r="J234" s="28"/>
      <c r="K234" s="15" t="s">
        <v>56</v>
      </c>
      <c r="L234" s="11"/>
      <c r="M234" s="33"/>
      <c r="N234" s="34"/>
      <c r="O234" s="15" t="s">
        <v>56</v>
      </c>
      <c r="P234" s="11"/>
      <c r="Q234" s="33"/>
      <c r="R234" s="34"/>
      <c r="S234" s="15" t="s">
        <v>56</v>
      </c>
      <c r="T234" s="11"/>
      <c r="U234" s="33"/>
      <c r="V234" s="38"/>
      <c r="W234" s="346"/>
      <c r="X234" s="342"/>
      <c r="Y234" s="342"/>
      <c r="Z234" s="342"/>
      <c r="AA234" s="342"/>
      <c r="AB234" s="344"/>
      <c r="AC234" s="346"/>
      <c r="AD234" s="342"/>
      <c r="AE234" s="342"/>
      <c r="AF234" s="342"/>
      <c r="AG234" s="342"/>
      <c r="AH234" s="344"/>
      <c r="AI234" s="346"/>
      <c r="AJ234" s="342"/>
      <c r="AK234" s="344"/>
      <c r="AL234" s="337"/>
      <c r="AM234" s="54" t="s">
        <v>98</v>
      </c>
      <c r="AN234" s="56"/>
      <c r="AO234" s="54" t="s">
        <v>13</v>
      </c>
      <c r="AP234" s="59"/>
      <c r="AQ234" s="337"/>
      <c r="AR234" s="54" t="s">
        <v>98</v>
      </c>
      <c r="AS234" s="56"/>
      <c r="AT234" s="54" t="s">
        <v>13</v>
      </c>
      <c r="AU234" s="59"/>
    </row>
    <row r="235" spans="1:47" ht="16.5" customHeight="1">
      <c r="A235" s="329"/>
      <c r="B235" s="330"/>
      <c r="C235" s="15" t="s">
        <v>44</v>
      </c>
      <c r="D235" s="19"/>
      <c r="E235" s="15" t="s">
        <v>65</v>
      </c>
      <c r="F235" s="18"/>
      <c r="G235" s="153"/>
      <c r="H235" s="184"/>
      <c r="I235" s="23"/>
      <c r="J235" s="23"/>
      <c r="K235" s="15" t="s">
        <v>57</v>
      </c>
      <c r="L235" s="11"/>
      <c r="M235" s="33"/>
      <c r="N235" s="34"/>
      <c r="O235" s="15" t="s">
        <v>57</v>
      </c>
      <c r="P235" s="11"/>
      <c r="Q235" s="33"/>
      <c r="R235" s="34"/>
      <c r="S235" s="15" t="s">
        <v>57</v>
      </c>
      <c r="T235" s="11"/>
      <c r="U235" s="33"/>
      <c r="V235" s="38"/>
      <c r="W235" s="346"/>
      <c r="X235" s="342"/>
      <c r="Y235" s="342"/>
      <c r="Z235" s="342"/>
      <c r="AA235" s="342"/>
      <c r="AB235" s="344"/>
      <c r="AC235" s="346"/>
      <c r="AD235" s="342"/>
      <c r="AE235" s="342"/>
      <c r="AF235" s="342"/>
      <c r="AG235" s="342"/>
      <c r="AH235" s="344"/>
      <c r="AI235" s="346">
        <v>7</v>
      </c>
      <c r="AJ235" s="342"/>
      <c r="AK235" s="344"/>
      <c r="AL235" s="337"/>
      <c r="AM235" s="54" t="s">
        <v>99</v>
      </c>
      <c r="AN235" s="57"/>
      <c r="AO235" s="54" t="s">
        <v>13</v>
      </c>
      <c r="AP235" s="60"/>
      <c r="AQ235" s="337"/>
      <c r="AR235" s="54" t="s">
        <v>99</v>
      </c>
      <c r="AS235" s="57"/>
      <c r="AT235" s="54" t="s">
        <v>13</v>
      </c>
      <c r="AU235" s="60"/>
    </row>
    <row r="236" spans="1:47" ht="16.5" customHeight="1">
      <c r="A236" s="329"/>
      <c r="B236" s="330"/>
      <c r="C236" s="15" t="s">
        <v>229</v>
      </c>
      <c r="D236" s="4"/>
      <c r="E236" s="15" t="s">
        <v>48</v>
      </c>
      <c r="F236" s="18"/>
      <c r="G236" s="331" t="s">
        <v>12</v>
      </c>
      <c r="H236" s="332"/>
      <c r="I236" s="332"/>
      <c r="J236" s="332"/>
      <c r="K236" s="15" t="s">
        <v>58</v>
      </c>
      <c r="L236" s="11"/>
      <c r="M236" s="33"/>
      <c r="N236" s="34"/>
      <c r="O236" s="15" t="s">
        <v>58</v>
      </c>
      <c r="P236" s="11"/>
      <c r="Q236" s="33"/>
      <c r="R236" s="34"/>
      <c r="S236" s="15" t="s">
        <v>58</v>
      </c>
      <c r="T236" s="11"/>
      <c r="U236" s="33"/>
      <c r="V236" s="38"/>
      <c r="W236" s="346"/>
      <c r="X236" s="342"/>
      <c r="Y236" s="342"/>
      <c r="Z236" s="342"/>
      <c r="AA236" s="342"/>
      <c r="AB236" s="344"/>
      <c r="AC236" s="346"/>
      <c r="AD236" s="342"/>
      <c r="AE236" s="342"/>
      <c r="AF236" s="342"/>
      <c r="AG236" s="342"/>
      <c r="AH236" s="344"/>
      <c r="AI236" s="346"/>
      <c r="AJ236" s="342"/>
      <c r="AK236" s="344"/>
      <c r="AL236" s="338"/>
      <c r="AM236" s="55" t="s">
        <v>100</v>
      </c>
      <c r="AN236" s="58"/>
      <c r="AO236" s="55" t="s">
        <v>101</v>
      </c>
      <c r="AP236" s="61"/>
      <c r="AQ236" s="338"/>
      <c r="AR236" s="55" t="s">
        <v>100</v>
      </c>
      <c r="AS236" s="58"/>
      <c r="AT236" s="55" t="s">
        <v>101</v>
      </c>
      <c r="AU236" s="61"/>
    </row>
    <row r="237" spans="1:47" ht="16.5" customHeight="1">
      <c r="A237" s="329"/>
      <c r="B237" s="330"/>
      <c r="C237" s="15" t="s">
        <v>38</v>
      </c>
      <c r="D237" s="19"/>
      <c r="E237" s="15" t="s">
        <v>49</v>
      </c>
      <c r="F237" s="18"/>
      <c r="G237" s="8" t="s">
        <v>13</v>
      </c>
      <c r="H237" s="180" t="s">
        <v>14</v>
      </c>
      <c r="I237" s="6" t="s">
        <v>15</v>
      </c>
      <c r="J237" s="6" t="s">
        <v>16</v>
      </c>
      <c r="K237" s="15" t="s">
        <v>59</v>
      </c>
      <c r="L237" s="11"/>
      <c r="M237" s="33"/>
      <c r="N237" s="34"/>
      <c r="O237" s="15" t="s">
        <v>59</v>
      </c>
      <c r="P237" s="11"/>
      <c r="Q237" s="33"/>
      <c r="R237" s="34"/>
      <c r="S237" s="15" t="s">
        <v>59</v>
      </c>
      <c r="T237" s="11"/>
      <c r="U237" s="33"/>
      <c r="V237" s="38"/>
      <c r="W237" s="346"/>
      <c r="X237" s="342"/>
      <c r="Y237" s="342"/>
      <c r="Z237" s="342"/>
      <c r="AA237" s="342"/>
      <c r="AB237" s="344"/>
      <c r="AC237" s="346"/>
      <c r="AD237" s="342"/>
      <c r="AE237" s="342"/>
      <c r="AF237" s="342"/>
      <c r="AG237" s="342"/>
      <c r="AH237" s="344"/>
      <c r="AI237" s="346"/>
      <c r="AJ237" s="342"/>
      <c r="AK237" s="344"/>
      <c r="AL237" s="336">
        <v>2</v>
      </c>
      <c r="AM237" s="53" t="s">
        <v>0</v>
      </c>
      <c r="AN237" s="339"/>
      <c r="AO237" s="340"/>
      <c r="AP237" s="341"/>
      <c r="AQ237" s="336">
        <v>4</v>
      </c>
      <c r="AR237" s="53" t="s">
        <v>0</v>
      </c>
      <c r="AS237" s="339"/>
      <c r="AT237" s="340"/>
      <c r="AU237" s="341"/>
    </row>
    <row r="238" spans="1:47" ht="16.5" customHeight="1">
      <c r="A238" s="329"/>
      <c r="B238" s="330"/>
      <c r="C238" s="15" t="s">
        <v>39</v>
      </c>
      <c r="D238" s="19"/>
      <c r="E238" s="15" t="s">
        <v>50</v>
      </c>
      <c r="F238" s="18"/>
      <c r="G238" s="154">
        <v>6</v>
      </c>
      <c r="H238" s="181"/>
      <c r="I238" s="10"/>
      <c r="J238" s="26"/>
      <c r="K238" s="15" t="s">
        <v>60</v>
      </c>
      <c r="L238" s="11"/>
      <c r="M238" s="33"/>
      <c r="N238" s="34"/>
      <c r="O238" s="15" t="s">
        <v>60</v>
      </c>
      <c r="P238" s="11"/>
      <c r="Q238" s="33"/>
      <c r="R238" s="34"/>
      <c r="S238" s="15" t="s">
        <v>60</v>
      </c>
      <c r="T238" s="11"/>
      <c r="U238" s="33"/>
      <c r="V238" s="38"/>
      <c r="W238" s="346"/>
      <c r="X238" s="342"/>
      <c r="Y238" s="342"/>
      <c r="Z238" s="342"/>
      <c r="AA238" s="342"/>
      <c r="AB238" s="344"/>
      <c r="AC238" s="346"/>
      <c r="AD238" s="342"/>
      <c r="AE238" s="342"/>
      <c r="AF238" s="342"/>
      <c r="AG238" s="342"/>
      <c r="AH238" s="344"/>
      <c r="AI238" s="346">
        <v>8</v>
      </c>
      <c r="AJ238" s="342"/>
      <c r="AK238" s="344"/>
      <c r="AL238" s="337"/>
      <c r="AM238" s="54" t="s">
        <v>97</v>
      </c>
      <c r="AN238" s="176"/>
      <c r="AO238" s="179" t="s">
        <v>212</v>
      </c>
      <c r="AP238" s="177"/>
      <c r="AQ238" s="337"/>
      <c r="AR238" s="54" t="s">
        <v>97</v>
      </c>
      <c r="AS238" s="176"/>
      <c r="AT238" s="179" t="s">
        <v>212</v>
      </c>
      <c r="AU238" s="177"/>
    </row>
    <row r="239" spans="1:47" ht="16.5" customHeight="1">
      <c r="A239" s="329"/>
      <c r="B239" s="330"/>
      <c r="C239" s="15" t="s">
        <v>40</v>
      </c>
      <c r="D239" s="19"/>
      <c r="E239" s="15" t="s">
        <v>51</v>
      </c>
      <c r="F239" s="18"/>
      <c r="G239" s="155">
        <v>7</v>
      </c>
      <c r="H239" s="182"/>
      <c r="I239" s="12"/>
      <c r="J239" s="27"/>
      <c r="K239" s="15" t="s">
        <v>61</v>
      </c>
      <c r="L239" s="11"/>
      <c r="M239" s="33"/>
      <c r="N239" s="34"/>
      <c r="O239" s="15" t="s">
        <v>61</v>
      </c>
      <c r="P239" s="11"/>
      <c r="Q239" s="33"/>
      <c r="R239" s="34"/>
      <c r="S239" s="15" t="s">
        <v>61</v>
      </c>
      <c r="T239" s="11"/>
      <c r="U239" s="33"/>
      <c r="V239" s="38"/>
      <c r="W239" s="346"/>
      <c r="X239" s="342"/>
      <c r="Y239" s="342"/>
      <c r="Z239" s="342"/>
      <c r="AA239" s="342"/>
      <c r="AB239" s="344"/>
      <c r="AC239" s="346"/>
      <c r="AD239" s="342"/>
      <c r="AE239" s="342"/>
      <c r="AF239" s="342"/>
      <c r="AG239" s="342"/>
      <c r="AH239" s="344"/>
      <c r="AI239" s="346"/>
      <c r="AJ239" s="342"/>
      <c r="AK239" s="344"/>
      <c r="AL239" s="337"/>
      <c r="AM239" s="54" t="s">
        <v>98</v>
      </c>
      <c r="AN239" s="56"/>
      <c r="AO239" s="54" t="s">
        <v>13</v>
      </c>
      <c r="AP239" s="59"/>
      <c r="AQ239" s="337"/>
      <c r="AR239" s="54" t="s">
        <v>98</v>
      </c>
      <c r="AS239" s="56"/>
      <c r="AT239" s="54" t="s">
        <v>13</v>
      </c>
      <c r="AU239" s="59"/>
    </row>
    <row r="240" spans="1:47" ht="16.5" customHeight="1">
      <c r="A240" s="329"/>
      <c r="B240" s="330"/>
      <c r="C240" s="15" t="s">
        <v>41</v>
      </c>
      <c r="D240" s="19"/>
      <c r="E240" s="15" t="s">
        <v>52</v>
      </c>
      <c r="F240" s="18"/>
      <c r="G240" s="155">
        <v>8</v>
      </c>
      <c r="H240" s="185"/>
      <c r="I240" s="25"/>
      <c r="J240" s="29"/>
      <c r="K240" s="15" t="s">
        <v>62</v>
      </c>
      <c r="L240" s="11"/>
      <c r="M240" s="33"/>
      <c r="N240" s="34"/>
      <c r="O240" s="15" t="s">
        <v>62</v>
      </c>
      <c r="P240" s="11"/>
      <c r="Q240" s="33"/>
      <c r="R240" s="34"/>
      <c r="S240" s="15" t="s">
        <v>62</v>
      </c>
      <c r="T240" s="11"/>
      <c r="U240" s="33"/>
      <c r="V240" s="38"/>
      <c r="W240" s="346"/>
      <c r="X240" s="342"/>
      <c r="Y240" s="342"/>
      <c r="Z240" s="342"/>
      <c r="AA240" s="342"/>
      <c r="AB240" s="344"/>
      <c r="AC240" s="346"/>
      <c r="AD240" s="342"/>
      <c r="AE240" s="342"/>
      <c r="AF240" s="342"/>
      <c r="AG240" s="342"/>
      <c r="AH240" s="344"/>
      <c r="AI240" s="356"/>
      <c r="AJ240" s="343"/>
      <c r="AK240" s="345"/>
      <c r="AL240" s="337"/>
      <c r="AM240" s="54" t="s">
        <v>99</v>
      </c>
      <c r="AN240" s="57"/>
      <c r="AO240" s="54" t="s">
        <v>13</v>
      </c>
      <c r="AP240" s="60"/>
      <c r="AQ240" s="337"/>
      <c r="AR240" s="54" t="s">
        <v>99</v>
      </c>
      <c r="AS240" s="57"/>
      <c r="AT240" s="54" t="s">
        <v>13</v>
      </c>
      <c r="AU240" s="60"/>
    </row>
    <row r="241" spans="1:47" ht="16.5" customHeight="1">
      <c r="A241" s="329"/>
      <c r="B241" s="330"/>
      <c r="C241" s="15" t="s">
        <v>42</v>
      </c>
      <c r="D241" s="19"/>
      <c r="E241" s="16" t="s">
        <v>53</v>
      </c>
      <c r="F241" s="22"/>
      <c r="G241" s="160"/>
      <c r="H241" s="186"/>
      <c r="I241" s="161"/>
      <c r="J241" s="161"/>
      <c r="K241" s="15" t="s">
        <v>63</v>
      </c>
      <c r="L241" s="11"/>
      <c r="M241" s="33"/>
      <c r="N241" s="34"/>
      <c r="O241" s="15" t="s">
        <v>63</v>
      </c>
      <c r="P241" s="11"/>
      <c r="Q241" s="33"/>
      <c r="R241" s="34"/>
      <c r="S241" s="15" t="s">
        <v>63</v>
      </c>
      <c r="T241" s="11"/>
      <c r="U241" s="33"/>
      <c r="V241" s="38"/>
      <c r="W241" s="356"/>
      <c r="X241" s="343"/>
      <c r="Y241" s="343"/>
      <c r="Z241" s="343"/>
      <c r="AA241" s="343"/>
      <c r="AB241" s="345"/>
      <c r="AC241" s="356"/>
      <c r="AD241" s="343"/>
      <c r="AE241" s="343"/>
      <c r="AF241" s="343"/>
      <c r="AG241" s="343"/>
      <c r="AH241" s="345"/>
      <c r="AI241" s="172"/>
      <c r="AJ241" s="173"/>
      <c r="AK241" s="174"/>
      <c r="AL241" s="338"/>
      <c r="AM241" s="55" t="s">
        <v>100</v>
      </c>
      <c r="AN241" s="58"/>
      <c r="AO241" s="55" t="s">
        <v>101</v>
      </c>
      <c r="AP241" s="61"/>
      <c r="AQ241" s="338"/>
      <c r="AR241" s="55" t="s">
        <v>100</v>
      </c>
      <c r="AS241" s="58"/>
      <c r="AT241" s="55" t="s">
        <v>101</v>
      </c>
      <c r="AU241" s="61"/>
    </row>
    <row r="242" spans="1:47" ht="16.5" customHeight="1">
      <c r="A242" s="329"/>
      <c r="B242" s="330"/>
      <c r="C242" s="16" t="s">
        <v>43</v>
      </c>
      <c r="D242" s="21"/>
      <c r="E242" s="189" t="s">
        <v>293</v>
      </c>
      <c r="F242" s="190" t="s">
        <v>185</v>
      </c>
      <c r="G242" s="162"/>
      <c r="H242" s="187"/>
      <c r="I242" s="163"/>
      <c r="J242" s="163"/>
      <c r="K242" s="30" t="s">
        <v>64</v>
      </c>
      <c r="L242" s="24"/>
      <c r="M242" s="35"/>
      <c r="N242" s="36"/>
      <c r="O242" s="30" t="s">
        <v>64</v>
      </c>
      <c r="P242" s="24"/>
      <c r="Q242" s="35"/>
      <c r="R242" s="36"/>
      <c r="S242" s="30" t="s">
        <v>64</v>
      </c>
      <c r="T242" s="24"/>
      <c r="U242" s="35"/>
      <c r="V242" s="39"/>
      <c r="W242" s="156"/>
      <c r="X242" s="157"/>
      <c r="Y242" s="165"/>
      <c r="Z242" s="165"/>
      <c r="AA242" s="166"/>
      <c r="AB242" s="167"/>
      <c r="AC242" s="168"/>
      <c r="AD242" s="169"/>
      <c r="AE242" s="170"/>
      <c r="AF242" s="170"/>
      <c r="AG242" s="170"/>
      <c r="AH242" s="171"/>
      <c r="AI242" s="168"/>
      <c r="AJ242" s="169"/>
      <c r="AK242" s="171"/>
      <c r="AL242" s="175"/>
      <c r="AM242" s="158"/>
      <c r="AN242" s="158"/>
      <c r="AO242" s="158"/>
      <c r="AP242" s="159"/>
      <c r="AQ242" s="175"/>
      <c r="AR242" s="158"/>
      <c r="AS242" s="158"/>
      <c r="AT242" s="158"/>
      <c r="AU242" s="159"/>
    </row>
    <row r="243" spans="1:47" ht="16.5" customHeight="1"/>
    <row r="244" spans="1:47" ht="16.5" customHeight="1">
      <c r="A244" s="329">
        <v>21</v>
      </c>
      <c r="B244" s="330" t="s">
        <v>269</v>
      </c>
      <c r="C244" s="14" t="s">
        <v>45</v>
      </c>
      <c r="D244" s="52"/>
      <c r="E244" s="14" t="s">
        <v>46</v>
      </c>
      <c r="F244" s="17"/>
      <c r="G244" s="149">
        <v>6</v>
      </c>
      <c r="H244" s="181"/>
      <c r="I244" s="10"/>
      <c r="J244" s="26"/>
      <c r="K244" s="14" t="s">
        <v>54</v>
      </c>
      <c r="L244" s="9"/>
      <c r="M244" s="31"/>
      <c r="N244" s="32"/>
      <c r="O244" s="14" t="s">
        <v>54</v>
      </c>
      <c r="P244" s="9"/>
      <c r="Q244" s="31"/>
      <c r="R244" s="32"/>
      <c r="S244" s="14" t="s">
        <v>54</v>
      </c>
      <c r="T244" s="9"/>
      <c r="U244" s="31"/>
      <c r="V244" s="37"/>
      <c r="W244" s="353"/>
      <c r="X244" s="354"/>
      <c r="Y244" s="354"/>
      <c r="Z244" s="354"/>
      <c r="AA244" s="354"/>
      <c r="AB244" s="355"/>
      <c r="AC244" s="353"/>
      <c r="AD244" s="354"/>
      <c r="AE244" s="354"/>
      <c r="AF244" s="354"/>
      <c r="AG244" s="354"/>
      <c r="AH244" s="355"/>
      <c r="AI244" s="353">
        <v>6</v>
      </c>
      <c r="AJ244" s="354"/>
      <c r="AK244" s="355"/>
      <c r="AL244" s="336">
        <v>1</v>
      </c>
      <c r="AM244" s="53" t="s">
        <v>0</v>
      </c>
      <c r="AN244" s="339"/>
      <c r="AO244" s="340"/>
      <c r="AP244" s="341"/>
      <c r="AQ244" s="336">
        <v>3</v>
      </c>
      <c r="AR244" s="53" t="s">
        <v>0</v>
      </c>
      <c r="AS244" s="339"/>
      <c r="AT244" s="340"/>
      <c r="AU244" s="341"/>
    </row>
    <row r="245" spans="1:47" ht="16.5" customHeight="1">
      <c r="A245" s="329"/>
      <c r="B245" s="330"/>
      <c r="C245" s="15" t="s">
        <v>36</v>
      </c>
      <c r="D245" s="19"/>
      <c r="E245" s="15" t="s">
        <v>73</v>
      </c>
      <c r="F245" s="18"/>
      <c r="G245" s="150">
        <v>7</v>
      </c>
      <c r="H245" s="182"/>
      <c r="I245" s="12"/>
      <c r="J245" s="27"/>
      <c r="K245" s="15" t="s">
        <v>55</v>
      </c>
      <c r="L245" s="11"/>
      <c r="M245" s="33"/>
      <c r="N245" s="34"/>
      <c r="O245" s="15" t="s">
        <v>55</v>
      </c>
      <c r="P245" s="11"/>
      <c r="Q245" s="33"/>
      <c r="R245" s="34"/>
      <c r="S245" s="15" t="s">
        <v>55</v>
      </c>
      <c r="T245" s="11"/>
      <c r="U245" s="33"/>
      <c r="V245" s="38"/>
      <c r="W245" s="346"/>
      <c r="X245" s="342"/>
      <c r="Y245" s="342"/>
      <c r="Z245" s="342"/>
      <c r="AA245" s="342"/>
      <c r="AB245" s="344"/>
      <c r="AC245" s="346"/>
      <c r="AD245" s="342"/>
      <c r="AE245" s="342"/>
      <c r="AF245" s="342"/>
      <c r="AG245" s="342"/>
      <c r="AH245" s="344"/>
      <c r="AI245" s="346"/>
      <c r="AJ245" s="342"/>
      <c r="AK245" s="344"/>
      <c r="AL245" s="337"/>
      <c r="AM245" s="54" t="s">
        <v>97</v>
      </c>
      <c r="AN245" s="176"/>
      <c r="AO245" s="54" t="s">
        <v>212</v>
      </c>
      <c r="AP245" s="178"/>
      <c r="AQ245" s="337"/>
      <c r="AR245" s="54" t="s">
        <v>97</v>
      </c>
      <c r="AS245" s="176"/>
      <c r="AT245" s="179" t="s">
        <v>212</v>
      </c>
      <c r="AU245" s="177"/>
    </row>
    <row r="246" spans="1:47" ht="16.5" customHeight="1">
      <c r="A246" s="329"/>
      <c r="B246" s="330"/>
      <c r="C246" s="15" t="s">
        <v>37</v>
      </c>
      <c r="D246" s="20"/>
      <c r="E246" s="15" t="s">
        <v>47</v>
      </c>
      <c r="F246" s="18"/>
      <c r="G246" s="150">
        <v>8</v>
      </c>
      <c r="H246" s="183"/>
      <c r="I246" s="13"/>
      <c r="J246" s="28"/>
      <c r="K246" s="15" t="s">
        <v>56</v>
      </c>
      <c r="L246" s="11"/>
      <c r="M246" s="33"/>
      <c r="N246" s="34"/>
      <c r="O246" s="15" t="s">
        <v>56</v>
      </c>
      <c r="P246" s="11"/>
      <c r="Q246" s="33"/>
      <c r="R246" s="34"/>
      <c r="S246" s="15" t="s">
        <v>56</v>
      </c>
      <c r="T246" s="11"/>
      <c r="U246" s="33"/>
      <c r="V246" s="38"/>
      <c r="W246" s="346"/>
      <c r="X246" s="342"/>
      <c r="Y246" s="342"/>
      <c r="Z246" s="342"/>
      <c r="AA246" s="342"/>
      <c r="AB246" s="344"/>
      <c r="AC246" s="346"/>
      <c r="AD246" s="342"/>
      <c r="AE246" s="342"/>
      <c r="AF246" s="342"/>
      <c r="AG246" s="342"/>
      <c r="AH246" s="344"/>
      <c r="AI246" s="346"/>
      <c r="AJ246" s="342"/>
      <c r="AK246" s="344"/>
      <c r="AL246" s="337"/>
      <c r="AM246" s="54" t="s">
        <v>98</v>
      </c>
      <c r="AN246" s="56"/>
      <c r="AO246" s="54" t="s">
        <v>13</v>
      </c>
      <c r="AP246" s="59"/>
      <c r="AQ246" s="337"/>
      <c r="AR246" s="54" t="s">
        <v>98</v>
      </c>
      <c r="AS246" s="56"/>
      <c r="AT246" s="54" t="s">
        <v>13</v>
      </c>
      <c r="AU246" s="59"/>
    </row>
    <row r="247" spans="1:47" ht="16.5" customHeight="1">
      <c r="A247" s="329"/>
      <c r="B247" s="330"/>
      <c r="C247" s="15" t="s">
        <v>44</v>
      </c>
      <c r="D247" s="19"/>
      <c r="E247" s="15" t="s">
        <v>65</v>
      </c>
      <c r="F247" s="18"/>
      <c r="G247" s="153"/>
      <c r="H247" s="184"/>
      <c r="I247" s="23"/>
      <c r="J247" s="23"/>
      <c r="K247" s="15" t="s">
        <v>57</v>
      </c>
      <c r="L247" s="11"/>
      <c r="M247" s="33"/>
      <c r="N247" s="34"/>
      <c r="O247" s="15" t="s">
        <v>57</v>
      </c>
      <c r="P247" s="11"/>
      <c r="Q247" s="33"/>
      <c r="R247" s="34"/>
      <c r="S247" s="15" t="s">
        <v>57</v>
      </c>
      <c r="T247" s="11"/>
      <c r="U247" s="33"/>
      <c r="V247" s="38"/>
      <c r="W247" s="346"/>
      <c r="X247" s="342"/>
      <c r="Y247" s="342"/>
      <c r="Z247" s="342"/>
      <c r="AA247" s="342"/>
      <c r="AB247" s="344"/>
      <c r="AC247" s="346"/>
      <c r="AD247" s="342"/>
      <c r="AE247" s="342"/>
      <c r="AF247" s="342"/>
      <c r="AG247" s="342"/>
      <c r="AH247" s="344"/>
      <c r="AI247" s="346">
        <v>7</v>
      </c>
      <c r="AJ247" s="342"/>
      <c r="AK247" s="344"/>
      <c r="AL247" s="337"/>
      <c r="AM247" s="54" t="s">
        <v>99</v>
      </c>
      <c r="AN247" s="57"/>
      <c r="AO247" s="54" t="s">
        <v>13</v>
      </c>
      <c r="AP247" s="60"/>
      <c r="AQ247" s="337"/>
      <c r="AR247" s="54" t="s">
        <v>99</v>
      </c>
      <c r="AS247" s="57"/>
      <c r="AT247" s="54" t="s">
        <v>13</v>
      </c>
      <c r="AU247" s="60"/>
    </row>
    <row r="248" spans="1:47" ht="16.5" customHeight="1">
      <c r="A248" s="329"/>
      <c r="B248" s="330"/>
      <c r="C248" s="15" t="s">
        <v>229</v>
      </c>
      <c r="D248" s="4"/>
      <c r="E248" s="15" t="s">
        <v>48</v>
      </c>
      <c r="F248" s="18"/>
      <c r="G248" s="331" t="s">
        <v>12</v>
      </c>
      <c r="H248" s="332"/>
      <c r="I248" s="332"/>
      <c r="J248" s="332"/>
      <c r="K248" s="15" t="s">
        <v>58</v>
      </c>
      <c r="L248" s="11"/>
      <c r="M248" s="33"/>
      <c r="N248" s="34"/>
      <c r="O248" s="15" t="s">
        <v>58</v>
      </c>
      <c r="P248" s="11"/>
      <c r="Q248" s="33"/>
      <c r="R248" s="34"/>
      <c r="S248" s="15" t="s">
        <v>58</v>
      </c>
      <c r="T248" s="11"/>
      <c r="U248" s="33"/>
      <c r="V248" s="38"/>
      <c r="W248" s="346"/>
      <c r="X248" s="342"/>
      <c r="Y248" s="342"/>
      <c r="Z248" s="342"/>
      <c r="AA248" s="342"/>
      <c r="AB248" s="344"/>
      <c r="AC248" s="346"/>
      <c r="AD248" s="342"/>
      <c r="AE248" s="342"/>
      <c r="AF248" s="342"/>
      <c r="AG248" s="342"/>
      <c r="AH248" s="344"/>
      <c r="AI248" s="346"/>
      <c r="AJ248" s="342"/>
      <c r="AK248" s="344"/>
      <c r="AL248" s="338"/>
      <c r="AM248" s="55" t="s">
        <v>100</v>
      </c>
      <c r="AN248" s="58"/>
      <c r="AO248" s="55" t="s">
        <v>101</v>
      </c>
      <c r="AP248" s="61"/>
      <c r="AQ248" s="338"/>
      <c r="AR248" s="55" t="s">
        <v>100</v>
      </c>
      <c r="AS248" s="58"/>
      <c r="AT248" s="55" t="s">
        <v>101</v>
      </c>
      <c r="AU248" s="61"/>
    </row>
    <row r="249" spans="1:47" ht="16.5" customHeight="1">
      <c r="A249" s="329"/>
      <c r="B249" s="330"/>
      <c r="C249" s="15" t="s">
        <v>38</v>
      </c>
      <c r="D249" s="19"/>
      <c r="E249" s="15" t="s">
        <v>49</v>
      </c>
      <c r="F249" s="18"/>
      <c r="G249" s="8" t="s">
        <v>13</v>
      </c>
      <c r="H249" s="180" t="s">
        <v>14</v>
      </c>
      <c r="I249" s="6" t="s">
        <v>15</v>
      </c>
      <c r="J249" s="6" t="s">
        <v>16</v>
      </c>
      <c r="K249" s="15" t="s">
        <v>59</v>
      </c>
      <c r="L249" s="11"/>
      <c r="M249" s="33"/>
      <c r="N249" s="34"/>
      <c r="O249" s="15" t="s">
        <v>59</v>
      </c>
      <c r="P249" s="11"/>
      <c r="Q249" s="33"/>
      <c r="R249" s="34"/>
      <c r="S249" s="15" t="s">
        <v>59</v>
      </c>
      <c r="T249" s="11"/>
      <c r="U249" s="33"/>
      <c r="V249" s="38"/>
      <c r="W249" s="346"/>
      <c r="X249" s="342"/>
      <c r="Y249" s="342"/>
      <c r="Z249" s="342"/>
      <c r="AA249" s="342"/>
      <c r="AB249" s="344"/>
      <c r="AC249" s="346"/>
      <c r="AD249" s="342"/>
      <c r="AE249" s="342"/>
      <c r="AF249" s="342"/>
      <c r="AG249" s="342"/>
      <c r="AH249" s="344"/>
      <c r="AI249" s="346"/>
      <c r="AJ249" s="342"/>
      <c r="AK249" s="344"/>
      <c r="AL249" s="336">
        <v>2</v>
      </c>
      <c r="AM249" s="53" t="s">
        <v>0</v>
      </c>
      <c r="AN249" s="339"/>
      <c r="AO249" s="340"/>
      <c r="AP249" s="341"/>
      <c r="AQ249" s="336">
        <v>4</v>
      </c>
      <c r="AR249" s="53" t="s">
        <v>0</v>
      </c>
      <c r="AS249" s="339"/>
      <c r="AT249" s="340"/>
      <c r="AU249" s="341"/>
    </row>
    <row r="250" spans="1:47" ht="16.5" customHeight="1">
      <c r="A250" s="329"/>
      <c r="B250" s="330"/>
      <c r="C250" s="15" t="s">
        <v>39</v>
      </c>
      <c r="D250" s="19"/>
      <c r="E250" s="15" t="s">
        <v>50</v>
      </c>
      <c r="F250" s="18"/>
      <c r="G250" s="154">
        <v>6</v>
      </c>
      <c r="H250" s="181"/>
      <c r="I250" s="10"/>
      <c r="J250" s="26"/>
      <c r="K250" s="15" t="s">
        <v>60</v>
      </c>
      <c r="L250" s="11"/>
      <c r="M250" s="33"/>
      <c r="N250" s="34"/>
      <c r="O250" s="15" t="s">
        <v>60</v>
      </c>
      <c r="P250" s="11"/>
      <c r="Q250" s="33"/>
      <c r="R250" s="34"/>
      <c r="S250" s="15" t="s">
        <v>60</v>
      </c>
      <c r="T250" s="11"/>
      <c r="U250" s="33"/>
      <c r="V250" s="38"/>
      <c r="W250" s="346"/>
      <c r="X250" s="342"/>
      <c r="Y250" s="342"/>
      <c r="Z250" s="342"/>
      <c r="AA250" s="342"/>
      <c r="AB250" s="344"/>
      <c r="AC250" s="346"/>
      <c r="AD250" s="342"/>
      <c r="AE250" s="342"/>
      <c r="AF250" s="342"/>
      <c r="AG250" s="342"/>
      <c r="AH250" s="344"/>
      <c r="AI250" s="346">
        <v>8</v>
      </c>
      <c r="AJ250" s="342"/>
      <c r="AK250" s="344"/>
      <c r="AL250" s="337"/>
      <c r="AM250" s="54" t="s">
        <v>97</v>
      </c>
      <c r="AN250" s="176"/>
      <c r="AO250" s="179" t="s">
        <v>212</v>
      </c>
      <c r="AP250" s="177"/>
      <c r="AQ250" s="337"/>
      <c r="AR250" s="54" t="s">
        <v>97</v>
      </c>
      <c r="AS250" s="176"/>
      <c r="AT250" s="179" t="s">
        <v>212</v>
      </c>
      <c r="AU250" s="177"/>
    </row>
    <row r="251" spans="1:47" ht="16.5" customHeight="1">
      <c r="A251" s="329"/>
      <c r="B251" s="330"/>
      <c r="C251" s="15" t="s">
        <v>40</v>
      </c>
      <c r="D251" s="19"/>
      <c r="E251" s="15" t="s">
        <v>51</v>
      </c>
      <c r="F251" s="18"/>
      <c r="G251" s="155">
        <v>7</v>
      </c>
      <c r="H251" s="182"/>
      <c r="I251" s="12"/>
      <c r="J251" s="27"/>
      <c r="K251" s="15" t="s">
        <v>61</v>
      </c>
      <c r="L251" s="11"/>
      <c r="M251" s="33"/>
      <c r="N251" s="34"/>
      <c r="O251" s="15" t="s">
        <v>61</v>
      </c>
      <c r="P251" s="11"/>
      <c r="Q251" s="33"/>
      <c r="R251" s="34"/>
      <c r="S251" s="15" t="s">
        <v>61</v>
      </c>
      <c r="T251" s="11"/>
      <c r="U251" s="33"/>
      <c r="V251" s="38"/>
      <c r="W251" s="346"/>
      <c r="X251" s="342"/>
      <c r="Y251" s="342"/>
      <c r="Z251" s="342"/>
      <c r="AA251" s="342"/>
      <c r="AB251" s="344"/>
      <c r="AC251" s="346"/>
      <c r="AD251" s="342"/>
      <c r="AE251" s="342"/>
      <c r="AF251" s="342"/>
      <c r="AG251" s="342"/>
      <c r="AH251" s="344"/>
      <c r="AI251" s="346"/>
      <c r="AJ251" s="342"/>
      <c r="AK251" s="344"/>
      <c r="AL251" s="337"/>
      <c r="AM251" s="54" t="s">
        <v>98</v>
      </c>
      <c r="AN251" s="56"/>
      <c r="AO251" s="54" t="s">
        <v>13</v>
      </c>
      <c r="AP251" s="59"/>
      <c r="AQ251" s="337"/>
      <c r="AR251" s="54" t="s">
        <v>98</v>
      </c>
      <c r="AS251" s="56"/>
      <c r="AT251" s="54" t="s">
        <v>13</v>
      </c>
      <c r="AU251" s="59"/>
    </row>
    <row r="252" spans="1:47" ht="16.5" customHeight="1">
      <c r="A252" s="329"/>
      <c r="B252" s="330"/>
      <c r="C252" s="15" t="s">
        <v>41</v>
      </c>
      <c r="D252" s="19"/>
      <c r="E252" s="15" t="s">
        <v>52</v>
      </c>
      <c r="F252" s="18"/>
      <c r="G252" s="155">
        <v>8</v>
      </c>
      <c r="H252" s="185"/>
      <c r="I252" s="25"/>
      <c r="J252" s="29"/>
      <c r="K252" s="15" t="s">
        <v>62</v>
      </c>
      <c r="L252" s="11"/>
      <c r="M252" s="33"/>
      <c r="N252" s="34"/>
      <c r="O252" s="15" t="s">
        <v>62</v>
      </c>
      <c r="P252" s="11"/>
      <c r="Q252" s="33"/>
      <c r="R252" s="34"/>
      <c r="S252" s="15" t="s">
        <v>62</v>
      </c>
      <c r="T252" s="11"/>
      <c r="U252" s="33"/>
      <c r="V252" s="38"/>
      <c r="W252" s="346"/>
      <c r="X252" s="342"/>
      <c r="Y252" s="342"/>
      <c r="Z252" s="342"/>
      <c r="AA252" s="342"/>
      <c r="AB252" s="344"/>
      <c r="AC252" s="346"/>
      <c r="AD252" s="342"/>
      <c r="AE252" s="342"/>
      <c r="AF252" s="342"/>
      <c r="AG252" s="342"/>
      <c r="AH252" s="344"/>
      <c r="AI252" s="356"/>
      <c r="AJ252" s="343"/>
      <c r="AK252" s="345"/>
      <c r="AL252" s="337"/>
      <c r="AM252" s="54" t="s">
        <v>99</v>
      </c>
      <c r="AN252" s="57"/>
      <c r="AO252" s="54" t="s">
        <v>13</v>
      </c>
      <c r="AP252" s="60"/>
      <c r="AQ252" s="337"/>
      <c r="AR252" s="54" t="s">
        <v>99</v>
      </c>
      <c r="AS252" s="57"/>
      <c r="AT252" s="54" t="s">
        <v>13</v>
      </c>
      <c r="AU252" s="60"/>
    </row>
    <row r="253" spans="1:47" ht="16.5" customHeight="1">
      <c r="A253" s="329"/>
      <c r="B253" s="330"/>
      <c r="C253" s="15" t="s">
        <v>42</v>
      </c>
      <c r="D253" s="19"/>
      <c r="E253" s="16" t="s">
        <v>53</v>
      </c>
      <c r="F253" s="22"/>
      <c r="G253" s="160"/>
      <c r="H253" s="186"/>
      <c r="I253" s="161"/>
      <c r="J253" s="161"/>
      <c r="K253" s="15" t="s">
        <v>63</v>
      </c>
      <c r="L253" s="11"/>
      <c r="M253" s="33"/>
      <c r="N253" s="34"/>
      <c r="O253" s="15" t="s">
        <v>63</v>
      </c>
      <c r="P253" s="11"/>
      <c r="Q253" s="33"/>
      <c r="R253" s="34"/>
      <c r="S253" s="15" t="s">
        <v>63</v>
      </c>
      <c r="T253" s="11"/>
      <c r="U253" s="33"/>
      <c r="V253" s="38"/>
      <c r="W253" s="356"/>
      <c r="X253" s="343"/>
      <c r="Y253" s="343"/>
      <c r="Z253" s="343"/>
      <c r="AA253" s="343"/>
      <c r="AB253" s="345"/>
      <c r="AC253" s="356"/>
      <c r="AD253" s="343"/>
      <c r="AE253" s="343"/>
      <c r="AF253" s="343"/>
      <c r="AG253" s="343"/>
      <c r="AH253" s="345"/>
      <c r="AI253" s="172"/>
      <c r="AJ253" s="173"/>
      <c r="AK253" s="174"/>
      <c r="AL253" s="338"/>
      <c r="AM253" s="55" t="s">
        <v>100</v>
      </c>
      <c r="AN253" s="58"/>
      <c r="AO253" s="55" t="s">
        <v>101</v>
      </c>
      <c r="AP253" s="61"/>
      <c r="AQ253" s="338"/>
      <c r="AR253" s="55" t="s">
        <v>100</v>
      </c>
      <c r="AS253" s="58"/>
      <c r="AT253" s="55" t="s">
        <v>101</v>
      </c>
      <c r="AU253" s="61"/>
    </row>
    <row r="254" spans="1:47" ht="16.5" customHeight="1">
      <c r="A254" s="329"/>
      <c r="B254" s="330"/>
      <c r="C254" s="16" t="s">
        <v>43</v>
      </c>
      <c r="D254" s="21"/>
      <c r="E254" s="189" t="s">
        <v>293</v>
      </c>
      <c r="F254" s="190" t="s">
        <v>185</v>
      </c>
      <c r="G254" s="162"/>
      <c r="H254" s="187"/>
      <c r="I254" s="163"/>
      <c r="J254" s="163"/>
      <c r="K254" s="30" t="s">
        <v>64</v>
      </c>
      <c r="L254" s="24"/>
      <c r="M254" s="35"/>
      <c r="N254" s="36"/>
      <c r="O254" s="30" t="s">
        <v>64</v>
      </c>
      <c r="P254" s="24"/>
      <c r="Q254" s="35"/>
      <c r="R254" s="36"/>
      <c r="S254" s="30" t="s">
        <v>64</v>
      </c>
      <c r="T254" s="24"/>
      <c r="U254" s="35"/>
      <c r="V254" s="39"/>
      <c r="W254" s="156"/>
      <c r="X254" s="157"/>
      <c r="Y254" s="165"/>
      <c r="Z254" s="165"/>
      <c r="AA254" s="166"/>
      <c r="AB254" s="167"/>
      <c r="AC254" s="168"/>
      <c r="AD254" s="169"/>
      <c r="AE254" s="170"/>
      <c r="AF254" s="170"/>
      <c r="AG254" s="170"/>
      <c r="AH254" s="171"/>
      <c r="AI254" s="168"/>
      <c r="AJ254" s="169"/>
      <c r="AK254" s="171"/>
      <c r="AL254" s="175"/>
      <c r="AM254" s="158"/>
      <c r="AN254" s="158"/>
      <c r="AO254" s="158"/>
      <c r="AP254" s="159"/>
      <c r="AQ254" s="175"/>
      <c r="AR254" s="158"/>
      <c r="AS254" s="158"/>
      <c r="AT254" s="158"/>
      <c r="AU254" s="159"/>
    </row>
    <row r="255" spans="1:47" ht="16.5" customHeight="1"/>
    <row r="256" spans="1:47" ht="16.5" customHeight="1">
      <c r="A256" s="329">
        <v>22</v>
      </c>
      <c r="B256" s="330" t="s">
        <v>270</v>
      </c>
      <c r="C256" s="14" t="s">
        <v>45</v>
      </c>
      <c r="D256" s="52"/>
      <c r="E256" s="14" t="s">
        <v>46</v>
      </c>
      <c r="F256" s="17"/>
      <c r="G256" s="149">
        <v>6</v>
      </c>
      <c r="H256" s="181"/>
      <c r="I256" s="10"/>
      <c r="J256" s="26"/>
      <c r="K256" s="14" t="s">
        <v>54</v>
      </c>
      <c r="L256" s="9"/>
      <c r="M256" s="31"/>
      <c r="N256" s="32"/>
      <c r="O256" s="14" t="s">
        <v>54</v>
      </c>
      <c r="P256" s="9"/>
      <c r="Q256" s="31"/>
      <c r="R256" s="32"/>
      <c r="S256" s="14" t="s">
        <v>54</v>
      </c>
      <c r="T256" s="9"/>
      <c r="U256" s="31"/>
      <c r="V256" s="37"/>
      <c r="W256" s="353"/>
      <c r="X256" s="354"/>
      <c r="Y256" s="354"/>
      <c r="Z256" s="354"/>
      <c r="AA256" s="354"/>
      <c r="AB256" s="355"/>
      <c r="AC256" s="353"/>
      <c r="AD256" s="354"/>
      <c r="AE256" s="354"/>
      <c r="AF256" s="354"/>
      <c r="AG256" s="354"/>
      <c r="AH256" s="355"/>
      <c r="AI256" s="353">
        <v>6</v>
      </c>
      <c r="AJ256" s="354"/>
      <c r="AK256" s="355"/>
      <c r="AL256" s="336">
        <v>1</v>
      </c>
      <c r="AM256" s="53" t="s">
        <v>0</v>
      </c>
      <c r="AN256" s="339"/>
      <c r="AO256" s="340"/>
      <c r="AP256" s="341"/>
      <c r="AQ256" s="336">
        <v>3</v>
      </c>
      <c r="AR256" s="53" t="s">
        <v>0</v>
      </c>
      <c r="AS256" s="339"/>
      <c r="AT256" s="340"/>
      <c r="AU256" s="341"/>
    </row>
    <row r="257" spans="1:47" ht="16.5" customHeight="1">
      <c r="A257" s="329"/>
      <c r="B257" s="330"/>
      <c r="C257" s="15" t="s">
        <v>36</v>
      </c>
      <c r="D257" s="19"/>
      <c r="E257" s="15" t="s">
        <v>73</v>
      </c>
      <c r="F257" s="18"/>
      <c r="G257" s="150">
        <v>7</v>
      </c>
      <c r="H257" s="182"/>
      <c r="I257" s="12"/>
      <c r="J257" s="27"/>
      <c r="K257" s="15" t="s">
        <v>55</v>
      </c>
      <c r="L257" s="11"/>
      <c r="M257" s="33"/>
      <c r="N257" s="34"/>
      <c r="O257" s="15" t="s">
        <v>55</v>
      </c>
      <c r="P257" s="11"/>
      <c r="Q257" s="33"/>
      <c r="R257" s="34"/>
      <c r="S257" s="15" t="s">
        <v>55</v>
      </c>
      <c r="T257" s="11"/>
      <c r="U257" s="33"/>
      <c r="V257" s="38"/>
      <c r="W257" s="346"/>
      <c r="X257" s="342"/>
      <c r="Y257" s="342"/>
      <c r="Z257" s="342"/>
      <c r="AA257" s="342"/>
      <c r="AB257" s="344"/>
      <c r="AC257" s="346"/>
      <c r="AD257" s="342"/>
      <c r="AE257" s="342"/>
      <c r="AF257" s="342"/>
      <c r="AG257" s="342"/>
      <c r="AH257" s="344"/>
      <c r="AI257" s="346"/>
      <c r="AJ257" s="342"/>
      <c r="AK257" s="344"/>
      <c r="AL257" s="337"/>
      <c r="AM257" s="54" t="s">
        <v>97</v>
      </c>
      <c r="AN257" s="176"/>
      <c r="AO257" s="54" t="s">
        <v>212</v>
      </c>
      <c r="AP257" s="178"/>
      <c r="AQ257" s="337"/>
      <c r="AR257" s="54" t="s">
        <v>97</v>
      </c>
      <c r="AS257" s="176"/>
      <c r="AT257" s="179" t="s">
        <v>212</v>
      </c>
      <c r="AU257" s="177"/>
    </row>
    <row r="258" spans="1:47" ht="16.5" customHeight="1">
      <c r="A258" s="329"/>
      <c r="B258" s="330"/>
      <c r="C258" s="15" t="s">
        <v>37</v>
      </c>
      <c r="D258" s="20"/>
      <c r="E258" s="15" t="s">
        <v>47</v>
      </c>
      <c r="F258" s="18"/>
      <c r="G258" s="150">
        <v>8</v>
      </c>
      <c r="H258" s="183"/>
      <c r="I258" s="13"/>
      <c r="J258" s="28"/>
      <c r="K258" s="15" t="s">
        <v>56</v>
      </c>
      <c r="L258" s="11"/>
      <c r="M258" s="33"/>
      <c r="N258" s="34"/>
      <c r="O258" s="15" t="s">
        <v>56</v>
      </c>
      <c r="P258" s="11"/>
      <c r="Q258" s="33"/>
      <c r="R258" s="34"/>
      <c r="S258" s="15" t="s">
        <v>56</v>
      </c>
      <c r="T258" s="11"/>
      <c r="U258" s="33"/>
      <c r="V258" s="38"/>
      <c r="W258" s="346"/>
      <c r="X258" s="342"/>
      <c r="Y258" s="342"/>
      <c r="Z258" s="342"/>
      <c r="AA258" s="342"/>
      <c r="AB258" s="344"/>
      <c r="AC258" s="346"/>
      <c r="AD258" s="342"/>
      <c r="AE258" s="342"/>
      <c r="AF258" s="342"/>
      <c r="AG258" s="342"/>
      <c r="AH258" s="344"/>
      <c r="AI258" s="346"/>
      <c r="AJ258" s="342"/>
      <c r="AK258" s="344"/>
      <c r="AL258" s="337"/>
      <c r="AM258" s="54" t="s">
        <v>98</v>
      </c>
      <c r="AN258" s="56"/>
      <c r="AO258" s="54" t="s">
        <v>13</v>
      </c>
      <c r="AP258" s="59"/>
      <c r="AQ258" s="337"/>
      <c r="AR258" s="54" t="s">
        <v>98</v>
      </c>
      <c r="AS258" s="56"/>
      <c r="AT258" s="54" t="s">
        <v>13</v>
      </c>
      <c r="AU258" s="59"/>
    </row>
    <row r="259" spans="1:47" ht="16.5" customHeight="1">
      <c r="A259" s="329"/>
      <c r="B259" s="330"/>
      <c r="C259" s="15" t="s">
        <v>44</v>
      </c>
      <c r="D259" s="19"/>
      <c r="E259" s="15" t="s">
        <v>65</v>
      </c>
      <c r="F259" s="18"/>
      <c r="G259" s="153"/>
      <c r="H259" s="184"/>
      <c r="I259" s="23"/>
      <c r="J259" s="23"/>
      <c r="K259" s="15" t="s">
        <v>57</v>
      </c>
      <c r="L259" s="11"/>
      <c r="M259" s="33"/>
      <c r="N259" s="34"/>
      <c r="O259" s="15" t="s">
        <v>57</v>
      </c>
      <c r="P259" s="11"/>
      <c r="Q259" s="33"/>
      <c r="R259" s="34"/>
      <c r="S259" s="15" t="s">
        <v>57</v>
      </c>
      <c r="T259" s="11"/>
      <c r="U259" s="33"/>
      <c r="V259" s="38"/>
      <c r="W259" s="346"/>
      <c r="X259" s="342"/>
      <c r="Y259" s="342"/>
      <c r="Z259" s="342"/>
      <c r="AA259" s="342"/>
      <c r="AB259" s="344"/>
      <c r="AC259" s="346"/>
      <c r="AD259" s="342"/>
      <c r="AE259" s="342"/>
      <c r="AF259" s="342"/>
      <c r="AG259" s="342"/>
      <c r="AH259" s="344"/>
      <c r="AI259" s="346">
        <v>7</v>
      </c>
      <c r="AJ259" s="342"/>
      <c r="AK259" s="344"/>
      <c r="AL259" s="337"/>
      <c r="AM259" s="54" t="s">
        <v>99</v>
      </c>
      <c r="AN259" s="57"/>
      <c r="AO259" s="54" t="s">
        <v>13</v>
      </c>
      <c r="AP259" s="60"/>
      <c r="AQ259" s="337"/>
      <c r="AR259" s="54" t="s">
        <v>99</v>
      </c>
      <c r="AS259" s="57"/>
      <c r="AT259" s="54" t="s">
        <v>13</v>
      </c>
      <c r="AU259" s="60"/>
    </row>
    <row r="260" spans="1:47" ht="16.5" customHeight="1">
      <c r="A260" s="329"/>
      <c r="B260" s="330"/>
      <c r="C260" s="15" t="s">
        <v>229</v>
      </c>
      <c r="D260" s="4"/>
      <c r="E260" s="15" t="s">
        <v>48</v>
      </c>
      <c r="F260" s="18"/>
      <c r="G260" s="331" t="s">
        <v>12</v>
      </c>
      <c r="H260" s="332"/>
      <c r="I260" s="332"/>
      <c r="J260" s="332"/>
      <c r="K260" s="15" t="s">
        <v>58</v>
      </c>
      <c r="L260" s="11"/>
      <c r="M260" s="33"/>
      <c r="N260" s="34"/>
      <c r="O260" s="15" t="s">
        <v>58</v>
      </c>
      <c r="P260" s="11"/>
      <c r="Q260" s="33"/>
      <c r="R260" s="34"/>
      <c r="S260" s="15" t="s">
        <v>58</v>
      </c>
      <c r="T260" s="11"/>
      <c r="U260" s="33"/>
      <c r="V260" s="38"/>
      <c r="W260" s="346"/>
      <c r="X260" s="342"/>
      <c r="Y260" s="342"/>
      <c r="Z260" s="342"/>
      <c r="AA260" s="342"/>
      <c r="AB260" s="344"/>
      <c r="AC260" s="346"/>
      <c r="AD260" s="342"/>
      <c r="AE260" s="342"/>
      <c r="AF260" s="342"/>
      <c r="AG260" s="342"/>
      <c r="AH260" s="344"/>
      <c r="AI260" s="346"/>
      <c r="AJ260" s="342"/>
      <c r="AK260" s="344"/>
      <c r="AL260" s="338"/>
      <c r="AM260" s="55" t="s">
        <v>100</v>
      </c>
      <c r="AN260" s="58"/>
      <c r="AO260" s="55" t="s">
        <v>101</v>
      </c>
      <c r="AP260" s="61"/>
      <c r="AQ260" s="338"/>
      <c r="AR260" s="55" t="s">
        <v>100</v>
      </c>
      <c r="AS260" s="58"/>
      <c r="AT260" s="55" t="s">
        <v>101</v>
      </c>
      <c r="AU260" s="61"/>
    </row>
    <row r="261" spans="1:47" ht="16.5" customHeight="1">
      <c r="A261" s="329"/>
      <c r="B261" s="330"/>
      <c r="C261" s="15" t="s">
        <v>38</v>
      </c>
      <c r="D261" s="19"/>
      <c r="E261" s="15" t="s">
        <v>49</v>
      </c>
      <c r="F261" s="18"/>
      <c r="G261" s="8" t="s">
        <v>13</v>
      </c>
      <c r="H261" s="180" t="s">
        <v>14</v>
      </c>
      <c r="I261" s="6" t="s">
        <v>15</v>
      </c>
      <c r="J261" s="6" t="s">
        <v>16</v>
      </c>
      <c r="K261" s="15" t="s">
        <v>59</v>
      </c>
      <c r="L261" s="11"/>
      <c r="M261" s="33"/>
      <c r="N261" s="34"/>
      <c r="O261" s="15" t="s">
        <v>59</v>
      </c>
      <c r="P261" s="11"/>
      <c r="Q261" s="33"/>
      <c r="R261" s="34"/>
      <c r="S261" s="15" t="s">
        <v>59</v>
      </c>
      <c r="T261" s="11"/>
      <c r="U261" s="33"/>
      <c r="V261" s="38"/>
      <c r="W261" s="346"/>
      <c r="X261" s="342"/>
      <c r="Y261" s="342"/>
      <c r="Z261" s="342"/>
      <c r="AA261" s="342"/>
      <c r="AB261" s="344"/>
      <c r="AC261" s="346"/>
      <c r="AD261" s="342"/>
      <c r="AE261" s="342"/>
      <c r="AF261" s="342"/>
      <c r="AG261" s="342"/>
      <c r="AH261" s="344"/>
      <c r="AI261" s="346"/>
      <c r="AJ261" s="342"/>
      <c r="AK261" s="344"/>
      <c r="AL261" s="336">
        <v>2</v>
      </c>
      <c r="AM261" s="53" t="s">
        <v>0</v>
      </c>
      <c r="AN261" s="339"/>
      <c r="AO261" s="340"/>
      <c r="AP261" s="341"/>
      <c r="AQ261" s="336">
        <v>4</v>
      </c>
      <c r="AR261" s="53" t="s">
        <v>0</v>
      </c>
      <c r="AS261" s="339"/>
      <c r="AT261" s="340"/>
      <c r="AU261" s="341"/>
    </row>
    <row r="262" spans="1:47" ht="16.5" customHeight="1">
      <c r="A262" s="329"/>
      <c r="B262" s="330"/>
      <c r="C262" s="15" t="s">
        <v>39</v>
      </c>
      <c r="D262" s="19"/>
      <c r="E262" s="15" t="s">
        <v>50</v>
      </c>
      <c r="F262" s="18"/>
      <c r="G262" s="154">
        <v>6</v>
      </c>
      <c r="H262" s="181"/>
      <c r="I262" s="10"/>
      <c r="J262" s="26"/>
      <c r="K262" s="15" t="s">
        <v>60</v>
      </c>
      <c r="L262" s="11"/>
      <c r="M262" s="33"/>
      <c r="N262" s="34"/>
      <c r="O262" s="15" t="s">
        <v>60</v>
      </c>
      <c r="P262" s="11"/>
      <c r="Q262" s="33"/>
      <c r="R262" s="34"/>
      <c r="S262" s="15" t="s">
        <v>60</v>
      </c>
      <c r="T262" s="11"/>
      <c r="U262" s="33"/>
      <c r="V262" s="38"/>
      <c r="W262" s="346"/>
      <c r="X262" s="342"/>
      <c r="Y262" s="342"/>
      <c r="Z262" s="342"/>
      <c r="AA262" s="342"/>
      <c r="AB262" s="344"/>
      <c r="AC262" s="346"/>
      <c r="AD262" s="342"/>
      <c r="AE262" s="342"/>
      <c r="AF262" s="342"/>
      <c r="AG262" s="342"/>
      <c r="AH262" s="344"/>
      <c r="AI262" s="346">
        <v>8</v>
      </c>
      <c r="AJ262" s="342"/>
      <c r="AK262" s="344"/>
      <c r="AL262" s="337"/>
      <c r="AM262" s="54" t="s">
        <v>97</v>
      </c>
      <c r="AN262" s="176"/>
      <c r="AO262" s="179" t="s">
        <v>212</v>
      </c>
      <c r="AP262" s="177"/>
      <c r="AQ262" s="337"/>
      <c r="AR262" s="54" t="s">
        <v>97</v>
      </c>
      <c r="AS262" s="176"/>
      <c r="AT262" s="179" t="s">
        <v>212</v>
      </c>
      <c r="AU262" s="177"/>
    </row>
    <row r="263" spans="1:47" ht="16.5" customHeight="1">
      <c r="A263" s="329"/>
      <c r="B263" s="330"/>
      <c r="C263" s="15" t="s">
        <v>40</v>
      </c>
      <c r="D263" s="19"/>
      <c r="E263" s="15" t="s">
        <v>51</v>
      </c>
      <c r="F263" s="18"/>
      <c r="G263" s="155">
        <v>7</v>
      </c>
      <c r="H263" s="182"/>
      <c r="I263" s="12"/>
      <c r="J263" s="27"/>
      <c r="K263" s="15" t="s">
        <v>61</v>
      </c>
      <c r="L263" s="11"/>
      <c r="M263" s="33"/>
      <c r="N263" s="34"/>
      <c r="O263" s="15" t="s">
        <v>61</v>
      </c>
      <c r="P263" s="11"/>
      <c r="Q263" s="33"/>
      <c r="R263" s="34"/>
      <c r="S263" s="15" t="s">
        <v>61</v>
      </c>
      <c r="T263" s="11"/>
      <c r="U263" s="33"/>
      <c r="V263" s="38"/>
      <c r="W263" s="346"/>
      <c r="X263" s="342"/>
      <c r="Y263" s="342"/>
      <c r="Z263" s="342"/>
      <c r="AA263" s="342"/>
      <c r="AB263" s="344"/>
      <c r="AC263" s="346"/>
      <c r="AD263" s="342"/>
      <c r="AE263" s="342"/>
      <c r="AF263" s="342"/>
      <c r="AG263" s="342"/>
      <c r="AH263" s="344"/>
      <c r="AI263" s="346"/>
      <c r="AJ263" s="342"/>
      <c r="AK263" s="344"/>
      <c r="AL263" s="337"/>
      <c r="AM263" s="54" t="s">
        <v>98</v>
      </c>
      <c r="AN263" s="56"/>
      <c r="AO263" s="54" t="s">
        <v>13</v>
      </c>
      <c r="AP263" s="59"/>
      <c r="AQ263" s="337"/>
      <c r="AR263" s="54" t="s">
        <v>98</v>
      </c>
      <c r="AS263" s="56"/>
      <c r="AT263" s="54" t="s">
        <v>13</v>
      </c>
      <c r="AU263" s="59"/>
    </row>
    <row r="264" spans="1:47" ht="16.5" customHeight="1">
      <c r="A264" s="329"/>
      <c r="B264" s="330"/>
      <c r="C264" s="15" t="s">
        <v>41</v>
      </c>
      <c r="D264" s="19"/>
      <c r="E264" s="15" t="s">
        <v>52</v>
      </c>
      <c r="F264" s="18"/>
      <c r="G264" s="155">
        <v>8</v>
      </c>
      <c r="H264" s="185"/>
      <c r="I264" s="25"/>
      <c r="J264" s="29"/>
      <c r="K264" s="15" t="s">
        <v>62</v>
      </c>
      <c r="L264" s="11"/>
      <c r="M264" s="33"/>
      <c r="N264" s="34"/>
      <c r="O264" s="15" t="s">
        <v>62</v>
      </c>
      <c r="P264" s="11"/>
      <c r="Q264" s="33"/>
      <c r="R264" s="34"/>
      <c r="S264" s="15" t="s">
        <v>62</v>
      </c>
      <c r="T264" s="11"/>
      <c r="U264" s="33"/>
      <c r="V264" s="38"/>
      <c r="W264" s="346"/>
      <c r="X264" s="342"/>
      <c r="Y264" s="342"/>
      <c r="Z264" s="342"/>
      <c r="AA264" s="342"/>
      <c r="AB264" s="344"/>
      <c r="AC264" s="346"/>
      <c r="AD264" s="342"/>
      <c r="AE264" s="342"/>
      <c r="AF264" s="342"/>
      <c r="AG264" s="342"/>
      <c r="AH264" s="344"/>
      <c r="AI264" s="356"/>
      <c r="AJ264" s="343"/>
      <c r="AK264" s="345"/>
      <c r="AL264" s="337"/>
      <c r="AM264" s="54" t="s">
        <v>99</v>
      </c>
      <c r="AN264" s="57"/>
      <c r="AO264" s="54" t="s">
        <v>13</v>
      </c>
      <c r="AP264" s="60"/>
      <c r="AQ264" s="337"/>
      <c r="AR264" s="54" t="s">
        <v>99</v>
      </c>
      <c r="AS264" s="57"/>
      <c r="AT264" s="54" t="s">
        <v>13</v>
      </c>
      <c r="AU264" s="60"/>
    </row>
    <row r="265" spans="1:47" ht="16.5" customHeight="1">
      <c r="A265" s="329"/>
      <c r="B265" s="330"/>
      <c r="C265" s="15" t="s">
        <v>42</v>
      </c>
      <c r="D265" s="19"/>
      <c r="E265" s="16" t="s">
        <v>53</v>
      </c>
      <c r="F265" s="22"/>
      <c r="G265" s="160"/>
      <c r="H265" s="186"/>
      <c r="I265" s="161"/>
      <c r="J265" s="161"/>
      <c r="K265" s="15" t="s">
        <v>63</v>
      </c>
      <c r="L265" s="11"/>
      <c r="M265" s="33"/>
      <c r="N265" s="34"/>
      <c r="O265" s="15" t="s">
        <v>63</v>
      </c>
      <c r="P265" s="11"/>
      <c r="Q265" s="33"/>
      <c r="R265" s="34"/>
      <c r="S265" s="15" t="s">
        <v>63</v>
      </c>
      <c r="T265" s="11"/>
      <c r="U265" s="33"/>
      <c r="V265" s="38"/>
      <c r="W265" s="356"/>
      <c r="X265" s="343"/>
      <c r="Y265" s="343"/>
      <c r="Z265" s="343"/>
      <c r="AA265" s="343"/>
      <c r="AB265" s="345"/>
      <c r="AC265" s="356"/>
      <c r="AD265" s="343"/>
      <c r="AE265" s="343"/>
      <c r="AF265" s="343"/>
      <c r="AG265" s="343"/>
      <c r="AH265" s="345"/>
      <c r="AI265" s="172"/>
      <c r="AJ265" s="173"/>
      <c r="AK265" s="174"/>
      <c r="AL265" s="338"/>
      <c r="AM265" s="55" t="s">
        <v>100</v>
      </c>
      <c r="AN265" s="58"/>
      <c r="AO265" s="55" t="s">
        <v>101</v>
      </c>
      <c r="AP265" s="61"/>
      <c r="AQ265" s="338"/>
      <c r="AR265" s="55" t="s">
        <v>100</v>
      </c>
      <c r="AS265" s="58"/>
      <c r="AT265" s="55" t="s">
        <v>101</v>
      </c>
      <c r="AU265" s="61"/>
    </row>
    <row r="266" spans="1:47" ht="16.5" customHeight="1">
      <c r="A266" s="329"/>
      <c r="B266" s="330"/>
      <c r="C266" s="16" t="s">
        <v>43</v>
      </c>
      <c r="D266" s="21"/>
      <c r="E266" s="189" t="s">
        <v>293</v>
      </c>
      <c r="F266" s="190" t="s">
        <v>188</v>
      </c>
      <c r="G266" s="162"/>
      <c r="H266" s="187"/>
      <c r="I266" s="163"/>
      <c r="J266" s="163"/>
      <c r="K266" s="30" t="s">
        <v>64</v>
      </c>
      <c r="L266" s="24"/>
      <c r="M266" s="35"/>
      <c r="N266" s="36"/>
      <c r="O266" s="30" t="s">
        <v>64</v>
      </c>
      <c r="P266" s="24"/>
      <c r="Q266" s="35"/>
      <c r="R266" s="36"/>
      <c r="S266" s="30" t="s">
        <v>64</v>
      </c>
      <c r="T266" s="24"/>
      <c r="U266" s="35"/>
      <c r="V266" s="39"/>
      <c r="W266" s="156"/>
      <c r="X266" s="157"/>
      <c r="Y266" s="165"/>
      <c r="Z266" s="165"/>
      <c r="AA266" s="166"/>
      <c r="AB266" s="167"/>
      <c r="AC266" s="168"/>
      <c r="AD266" s="169"/>
      <c r="AE266" s="170"/>
      <c r="AF266" s="170"/>
      <c r="AG266" s="170"/>
      <c r="AH266" s="171"/>
      <c r="AI266" s="168"/>
      <c r="AJ266" s="169"/>
      <c r="AK266" s="171"/>
      <c r="AL266" s="175"/>
      <c r="AM266" s="158"/>
      <c r="AN266" s="158"/>
      <c r="AO266" s="158"/>
      <c r="AP266" s="159"/>
      <c r="AQ266" s="175"/>
      <c r="AR266" s="158"/>
      <c r="AS266" s="158"/>
      <c r="AT266" s="158"/>
      <c r="AU266" s="159"/>
    </row>
    <row r="267" spans="1:47" ht="16.5" customHeight="1"/>
    <row r="268" spans="1:47" ht="16.5" customHeight="1">
      <c r="A268" s="329">
        <v>23</v>
      </c>
      <c r="B268" s="330" t="s">
        <v>271</v>
      </c>
      <c r="C268" s="14" t="s">
        <v>45</v>
      </c>
      <c r="D268" s="52"/>
      <c r="E268" s="14" t="s">
        <v>46</v>
      </c>
      <c r="F268" s="17"/>
      <c r="G268" s="149">
        <v>6</v>
      </c>
      <c r="H268" s="181"/>
      <c r="I268" s="10"/>
      <c r="J268" s="26"/>
      <c r="K268" s="14" t="s">
        <v>54</v>
      </c>
      <c r="L268" s="9"/>
      <c r="M268" s="31"/>
      <c r="N268" s="32"/>
      <c r="O268" s="14" t="s">
        <v>54</v>
      </c>
      <c r="P268" s="9"/>
      <c r="Q268" s="31"/>
      <c r="R268" s="32"/>
      <c r="S268" s="14" t="s">
        <v>54</v>
      </c>
      <c r="T268" s="9"/>
      <c r="U268" s="31"/>
      <c r="V268" s="37"/>
      <c r="W268" s="353"/>
      <c r="X268" s="354"/>
      <c r="Y268" s="354"/>
      <c r="Z268" s="354"/>
      <c r="AA268" s="354"/>
      <c r="AB268" s="355"/>
      <c r="AC268" s="353"/>
      <c r="AD268" s="354"/>
      <c r="AE268" s="354"/>
      <c r="AF268" s="354"/>
      <c r="AG268" s="354"/>
      <c r="AH268" s="355"/>
      <c r="AI268" s="353">
        <v>6</v>
      </c>
      <c r="AJ268" s="354"/>
      <c r="AK268" s="355"/>
      <c r="AL268" s="336">
        <v>1</v>
      </c>
      <c r="AM268" s="53" t="s">
        <v>0</v>
      </c>
      <c r="AN268" s="339"/>
      <c r="AO268" s="340"/>
      <c r="AP268" s="341"/>
      <c r="AQ268" s="336">
        <v>3</v>
      </c>
      <c r="AR268" s="53" t="s">
        <v>0</v>
      </c>
      <c r="AS268" s="339"/>
      <c r="AT268" s="340"/>
      <c r="AU268" s="341"/>
    </row>
    <row r="269" spans="1:47" ht="16.5" customHeight="1">
      <c r="A269" s="329"/>
      <c r="B269" s="330"/>
      <c r="C269" s="15" t="s">
        <v>36</v>
      </c>
      <c r="D269" s="19"/>
      <c r="E269" s="15" t="s">
        <v>73</v>
      </c>
      <c r="F269" s="18"/>
      <c r="G269" s="150">
        <v>7</v>
      </c>
      <c r="H269" s="182"/>
      <c r="I269" s="12"/>
      <c r="J269" s="27"/>
      <c r="K269" s="15" t="s">
        <v>55</v>
      </c>
      <c r="L269" s="11"/>
      <c r="M269" s="33"/>
      <c r="N269" s="34"/>
      <c r="O269" s="15" t="s">
        <v>55</v>
      </c>
      <c r="P269" s="11"/>
      <c r="Q269" s="33"/>
      <c r="R269" s="34"/>
      <c r="S269" s="15" t="s">
        <v>55</v>
      </c>
      <c r="T269" s="11"/>
      <c r="U269" s="33"/>
      <c r="V269" s="38"/>
      <c r="W269" s="346"/>
      <c r="X269" s="342"/>
      <c r="Y269" s="342"/>
      <c r="Z269" s="342"/>
      <c r="AA269" s="342"/>
      <c r="AB269" s="344"/>
      <c r="AC269" s="346"/>
      <c r="AD269" s="342"/>
      <c r="AE269" s="342"/>
      <c r="AF269" s="342"/>
      <c r="AG269" s="342"/>
      <c r="AH269" s="344"/>
      <c r="AI269" s="346"/>
      <c r="AJ269" s="342"/>
      <c r="AK269" s="344"/>
      <c r="AL269" s="337"/>
      <c r="AM269" s="54" t="s">
        <v>97</v>
      </c>
      <c r="AN269" s="176"/>
      <c r="AO269" s="54" t="s">
        <v>212</v>
      </c>
      <c r="AP269" s="178"/>
      <c r="AQ269" s="337"/>
      <c r="AR269" s="54" t="s">
        <v>97</v>
      </c>
      <c r="AS269" s="176"/>
      <c r="AT269" s="179" t="s">
        <v>212</v>
      </c>
      <c r="AU269" s="177"/>
    </row>
    <row r="270" spans="1:47" ht="16.5" customHeight="1">
      <c r="A270" s="329"/>
      <c r="B270" s="330"/>
      <c r="C270" s="15" t="s">
        <v>37</v>
      </c>
      <c r="D270" s="20"/>
      <c r="E270" s="15" t="s">
        <v>47</v>
      </c>
      <c r="F270" s="18"/>
      <c r="G270" s="150">
        <v>8</v>
      </c>
      <c r="H270" s="183"/>
      <c r="I270" s="13"/>
      <c r="J270" s="28"/>
      <c r="K270" s="15" t="s">
        <v>56</v>
      </c>
      <c r="L270" s="11"/>
      <c r="M270" s="33"/>
      <c r="N270" s="34"/>
      <c r="O270" s="15" t="s">
        <v>56</v>
      </c>
      <c r="P270" s="11"/>
      <c r="Q270" s="33"/>
      <c r="R270" s="34"/>
      <c r="S270" s="15" t="s">
        <v>56</v>
      </c>
      <c r="T270" s="11"/>
      <c r="U270" s="33"/>
      <c r="V270" s="38"/>
      <c r="W270" s="346"/>
      <c r="X270" s="342"/>
      <c r="Y270" s="342"/>
      <c r="Z270" s="342"/>
      <c r="AA270" s="342"/>
      <c r="AB270" s="344"/>
      <c r="AC270" s="346"/>
      <c r="AD270" s="342"/>
      <c r="AE270" s="342"/>
      <c r="AF270" s="342"/>
      <c r="AG270" s="342"/>
      <c r="AH270" s="344"/>
      <c r="AI270" s="346"/>
      <c r="AJ270" s="342"/>
      <c r="AK270" s="344"/>
      <c r="AL270" s="337"/>
      <c r="AM270" s="54" t="s">
        <v>98</v>
      </c>
      <c r="AN270" s="56"/>
      <c r="AO270" s="54" t="s">
        <v>13</v>
      </c>
      <c r="AP270" s="59"/>
      <c r="AQ270" s="337"/>
      <c r="AR270" s="54" t="s">
        <v>98</v>
      </c>
      <c r="AS270" s="56"/>
      <c r="AT270" s="54" t="s">
        <v>13</v>
      </c>
      <c r="AU270" s="59"/>
    </row>
    <row r="271" spans="1:47" ht="16.5" customHeight="1">
      <c r="A271" s="329"/>
      <c r="B271" s="330"/>
      <c r="C271" s="15" t="s">
        <v>44</v>
      </c>
      <c r="D271" s="19"/>
      <c r="E271" s="15" t="s">
        <v>65</v>
      </c>
      <c r="F271" s="18"/>
      <c r="G271" s="153"/>
      <c r="H271" s="184"/>
      <c r="I271" s="23"/>
      <c r="J271" s="23"/>
      <c r="K271" s="15" t="s">
        <v>57</v>
      </c>
      <c r="L271" s="11"/>
      <c r="M271" s="33"/>
      <c r="N271" s="34"/>
      <c r="O271" s="15" t="s">
        <v>57</v>
      </c>
      <c r="P271" s="11"/>
      <c r="Q271" s="33"/>
      <c r="R271" s="34"/>
      <c r="S271" s="15" t="s">
        <v>57</v>
      </c>
      <c r="T271" s="11"/>
      <c r="U271" s="33"/>
      <c r="V271" s="38"/>
      <c r="W271" s="346"/>
      <c r="X271" s="342"/>
      <c r="Y271" s="342"/>
      <c r="Z271" s="342"/>
      <c r="AA271" s="342"/>
      <c r="AB271" s="344"/>
      <c r="AC271" s="346"/>
      <c r="AD271" s="342"/>
      <c r="AE271" s="342"/>
      <c r="AF271" s="342"/>
      <c r="AG271" s="342"/>
      <c r="AH271" s="344"/>
      <c r="AI271" s="346">
        <v>7</v>
      </c>
      <c r="AJ271" s="342"/>
      <c r="AK271" s="344"/>
      <c r="AL271" s="337"/>
      <c r="AM271" s="54" t="s">
        <v>99</v>
      </c>
      <c r="AN271" s="57"/>
      <c r="AO271" s="54" t="s">
        <v>13</v>
      </c>
      <c r="AP271" s="60"/>
      <c r="AQ271" s="337"/>
      <c r="AR271" s="54" t="s">
        <v>99</v>
      </c>
      <c r="AS271" s="57"/>
      <c r="AT271" s="54" t="s">
        <v>13</v>
      </c>
      <c r="AU271" s="60"/>
    </row>
    <row r="272" spans="1:47" ht="16.5" customHeight="1">
      <c r="A272" s="329"/>
      <c r="B272" s="330"/>
      <c r="C272" s="15" t="s">
        <v>229</v>
      </c>
      <c r="D272" s="4"/>
      <c r="E272" s="15" t="s">
        <v>48</v>
      </c>
      <c r="F272" s="18"/>
      <c r="G272" s="331" t="s">
        <v>12</v>
      </c>
      <c r="H272" s="332"/>
      <c r="I272" s="332"/>
      <c r="J272" s="332"/>
      <c r="K272" s="15" t="s">
        <v>58</v>
      </c>
      <c r="L272" s="11"/>
      <c r="M272" s="33"/>
      <c r="N272" s="34"/>
      <c r="O272" s="15" t="s">
        <v>58</v>
      </c>
      <c r="P272" s="11"/>
      <c r="Q272" s="33"/>
      <c r="R272" s="34"/>
      <c r="S272" s="15" t="s">
        <v>58</v>
      </c>
      <c r="T272" s="11"/>
      <c r="U272" s="33"/>
      <c r="V272" s="38"/>
      <c r="W272" s="346"/>
      <c r="X272" s="342"/>
      <c r="Y272" s="342"/>
      <c r="Z272" s="342"/>
      <c r="AA272" s="342"/>
      <c r="AB272" s="344"/>
      <c r="AC272" s="346"/>
      <c r="AD272" s="342"/>
      <c r="AE272" s="342"/>
      <c r="AF272" s="342"/>
      <c r="AG272" s="342"/>
      <c r="AH272" s="344"/>
      <c r="AI272" s="346"/>
      <c r="AJ272" s="342"/>
      <c r="AK272" s="344"/>
      <c r="AL272" s="338"/>
      <c r="AM272" s="55" t="s">
        <v>100</v>
      </c>
      <c r="AN272" s="58"/>
      <c r="AO272" s="55" t="s">
        <v>101</v>
      </c>
      <c r="AP272" s="61"/>
      <c r="AQ272" s="338"/>
      <c r="AR272" s="55" t="s">
        <v>100</v>
      </c>
      <c r="AS272" s="58"/>
      <c r="AT272" s="55" t="s">
        <v>101</v>
      </c>
      <c r="AU272" s="61"/>
    </row>
    <row r="273" spans="1:47" ht="16.5" customHeight="1">
      <c r="A273" s="329"/>
      <c r="B273" s="330"/>
      <c r="C273" s="15" t="s">
        <v>38</v>
      </c>
      <c r="D273" s="19"/>
      <c r="E273" s="15" t="s">
        <v>49</v>
      </c>
      <c r="F273" s="18"/>
      <c r="G273" s="8" t="s">
        <v>13</v>
      </c>
      <c r="H273" s="180" t="s">
        <v>14</v>
      </c>
      <c r="I273" s="6" t="s">
        <v>15</v>
      </c>
      <c r="J273" s="6" t="s">
        <v>16</v>
      </c>
      <c r="K273" s="15" t="s">
        <v>59</v>
      </c>
      <c r="L273" s="11"/>
      <c r="M273" s="33"/>
      <c r="N273" s="34"/>
      <c r="O273" s="15" t="s">
        <v>59</v>
      </c>
      <c r="P273" s="11"/>
      <c r="Q273" s="33"/>
      <c r="R273" s="34"/>
      <c r="S273" s="15" t="s">
        <v>59</v>
      </c>
      <c r="T273" s="11"/>
      <c r="U273" s="33"/>
      <c r="V273" s="38"/>
      <c r="W273" s="346"/>
      <c r="X273" s="342"/>
      <c r="Y273" s="342"/>
      <c r="Z273" s="342"/>
      <c r="AA273" s="342"/>
      <c r="AB273" s="344"/>
      <c r="AC273" s="346"/>
      <c r="AD273" s="342"/>
      <c r="AE273" s="342"/>
      <c r="AF273" s="342"/>
      <c r="AG273" s="342"/>
      <c r="AH273" s="344"/>
      <c r="AI273" s="346"/>
      <c r="AJ273" s="342"/>
      <c r="AK273" s="344"/>
      <c r="AL273" s="336">
        <v>2</v>
      </c>
      <c r="AM273" s="53" t="s">
        <v>0</v>
      </c>
      <c r="AN273" s="339"/>
      <c r="AO273" s="340"/>
      <c r="AP273" s="341"/>
      <c r="AQ273" s="336">
        <v>4</v>
      </c>
      <c r="AR273" s="53" t="s">
        <v>0</v>
      </c>
      <c r="AS273" s="339"/>
      <c r="AT273" s="340"/>
      <c r="AU273" s="341"/>
    </row>
    <row r="274" spans="1:47" ht="16.5" customHeight="1">
      <c r="A274" s="329"/>
      <c r="B274" s="330"/>
      <c r="C274" s="15" t="s">
        <v>39</v>
      </c>
      <c r="D274" s="19"/>
      <c r="E274" s="15" t="s">
        <v>50</v>
      </c>
      <c r="F274" s="18"/>
      <c r="G274" s="154">
        <v>6</v>
      </c>
      <c r="H274" s="181"/>
      <c r="I274" s="10"/>
      <c r="J274" s="26"/>
      <c r="K274" s="15" t="s">
        <v>60</v>
      </c>
      <c r="L274" s="11"/>
      <c r="M274" s="33"/>
      <c r="N274" s="34"/>
      <c r="O274" s="15" t="s">
        <v>60</v>
      </c>
      <c r="P274" s="11"/>
      <c r="Q274" s="33"/>
      <c r="R274" s="34"/>
      <c r="S274" s="15" t="s">
        <v>60</v>
      </c>
      <c r="T274" s="11"/>
      <c r="U274" s="33"/>
      <c r="V274" s="38"/>
      <c r="W274" s="346"/>
      <c r="X274" s="342"/>
      <c r="Y274" s="342"/>
      <c r="Z274" s="342"/>
      <c r="AA274" s="342"/>
      <c r="AB274" s="344"/>
      <c r="AC274" s="346"/>
      <c r="AD274" s="342"/>
      <c r="AE274" s="342"/>
      <c r="AF274" s="342"/>
      <c r="AG274" s="342"/>
      <c r="AH274" s="344"/>
      <c r="AI274" s="346">
        <v>8</v>
      </c>
      <c r="AJ274" s="342"/>
      <c r="AK274" s="344"/>
      <c r="AL274" s="337"/>
      <c r="AM274" s="54" t="s">
        <v>97</v>
      </c>
      <c r="AN274" s="176"/>
      <c r="AO274" s="179" t="s">
        <v>212</v>
      </c>
      <c r="AP274" s="177"/>
      <c r="AQ274" s="337"/>
      <c r="AR274" s="54" t="s">
        <v>97</v>
      </c>
      <c r="AS274" s="176"/>
      <c r="AT274" s="179" t="s">
        <v>212</v>
      </c>
      <c r="AU274" s="177"/>
    </row>
    <row r="275" spans="1:47" ht="16.5" customHeight="1">
      <c r="A275" s="329"/>
      <c r="B275" s="330"/>
      <c r="C275" s="15" t="s">
        <v>40</v>
      </c>
      <c r="D275" s="19"/>
      <c r="E275" s="15" t="s">
        <v>51</v>
      </c>
      <c r="F275" s="18"/>
      <c r="G275" s="155">
        <v>7</v>
      </c>
      <c r="H275" s="182"/>
      <c r="I275" s="12"/>
      <c r="J275" s="27"/>
      <c r="K275" s="15" t="s">
        <v>61</v>
      </c>
      <c r="L275" s="11"/>
      <c r="M275" s="33"/>
      <c r="N275" s="34"/>
      <c r="O275" s="15" t="s">
        <v>61</v>
      </c>
      <c r="P275" s="11"/>
      <c r="Q275" s="33"/>
      <c r="R275" s="34"/>
      <c r="S275" s="15" t="s">
        <v>61</v>
      </c>
      <c r="T275" s="11"/>
      <c r="U275" s="33"/>
      <c r="V275" s="38"/>
      <c r="W275" s="346"/>
      <c r="X275" s="342"/>
      <c r="Y275" s="342"/>
      <c r="Z275" s="342"/>
      <c r="AA275" s="342"/>
      <c r="AB275" s="344"/>
      <c r="AC275" s="346"/>
      <c r="AD275" s="342"/>
      <c r="AE275" s="342"/>
      <c r="AF275" s="342"/>
      <c r="AG275" s="342"/>
      <c r="AH275" s="344"/>
      <c r="AI275" s="346"/>
      <c r="AJ275" s="342"/>
      <c r="AK275" s="344"/>
      <c r="AL275" s="337"/>
      <c r="AM275" s="54" t="s">
        <v>98</v>
      </c>
      <c r="AN275" s="56"/>
      <c r="AO275" s="54" t="s">
        <v>13</v>
      </c>
      <c r="AP275" s="59"/>
      <c r="AQ275" s="337"/>
      <c r="AR275" s="54" t="s">
        <v>98</v>
      </c>
      <c r="AS275" s="56"/>
      <c r="AT275" s="54" t="s">
        <v>13</v>
      </c>
      <c r="AU275" s="59"/>
    </row>
    <row r="276" spans="1:47" ht="16.5" customHeight="1">
      <c r="A276" s="329"/>
      <c r="B276" s="330"/>
      <c r="C276" s="15" t="s">
        <v>41</v>
      </c>
      <c r="D276" s="19"/>
      <c r="E276" s="15" t="s">
        <v>52</v>
      </c>
      <c r="F276" s="18"/>
      <c r="G276" s="155">
        <v>8</v>
      </c>
      <c r="H276" s="185"/>
      <c r="I276" s="25"/>
      <c r="J276" s="29"/>
      <c r="K276" s="15" t="s">
        <v>62</v>
      </c>
      <c r="L276" s="11"/>
      <c r="M276" s="33"/>
      <c r="N276" s="34"/>
      <c r="O276" s="15" t="s">
        <v>62</v>
      </c>
      <c r="P276" s="11"/>
      <c r="Q276" s="33"/>
      <c r="R276" s="34"/>
      <c r="S276" s="15" t="s">
        <v>62</v>
      </c>
      <c r="T276" s="11"/>
      <c r="U276" s="33"/>
      <c r="V276" s="38"/>
      <c r="W276" s="346"/>
      <c r="X276" s="342"/>
      <c r="Y276" s="342"/>
      <c r="Z276" s="342"/>
      <c r="AA276" s="342"/>
      <c r="AB276" s="344"/>
      <c r="AC276" s="346"/>
      <c r="AD276" s="342"/>
      <c r="AE276" s="342"/>
      <c r="AF276" s="342"/>
      <c r="AG276" s="342"/>
      <c r="AH276" s="344"/>
      <c r="AI276" s="356"/>
      <c r="AJ276" s="343"/>
      <c r="AK276" s="345"/>
      <c r="AL276" s="337"/>
      <c r="AM276" s="54" t="s">
        <v>99</v>
      </c>
      <c r="AN276" s="57"/>
      <c r="AO276" s="54" t="s">
        <v>13</v>
      </c>
      <c r="AP276" s="60"/>
      <c r="AQ276" s="337"/>
      <c r="AR276" s="54" t="s">
        <v>99</v>
      </c>
      <c r="AS276" s="57"/>
      <c r="AT276" s="54" t="s">
        <v>13</v>
      </c>
      <c r="AU276" s="60"/>
    </row>
    <row r="277" spans="1:47" ht="16.5" customHeight="1">
      <c r="A277" s="329"/>
      <c r="B277" s="330"/>
      <c r="C277" s="15" t="s">
        <v>42</v>
      </c>
      <c r="D277" s="19"/>
      <c r="E277" s="16" t="s">
        <v>53</v>
      </c>
      <c r="F277" s="22"/>
      <c r="G277" s="160"/>
      <c r="H277" s="186"/>
      <c r="I277" s="161"/>
      <c r="J277" s="161"/>
      <c r="K277" s="15" t="s">
        <v>63</v>
      </c>
      <c r="L277" s="11"/>
      <c r="M277" s="33"/>
      <c r="N277" s="34"/>
      <c r="O277" s="15" t="s">
        <v>63</v>
      </c>
      <c r="P277" s="11"/>
      <c r="Q277" s="33"/>
      <c r="R277" s="34"/>
      <c r="S277" s="15" t="s">
        <v>63</v>
      </c>
      <c r="T277" s="11"/>
      <c r="U277" s="33"/>
      <c r="V277" s="38"/>
      <c r="W277" s="356"/>
      <c r="X277" s="343"/>
      <c r="Y277" s="343"/>
      <c r="Z277" s="343"/>
      <c r="AA277" s="343"/>
      <c r="AB277" s="345"/>
      <c r="AC277" s="356"/>
      <c r="AD277" s="343"/>
      <c r="AE277" s="343"/>
      <c r="AF277" s="343"/>
      <c r="AG277" s="343"/>
      <c r="AH277" s="345"/>
      <c r="AI277" s="172"/>
      <c r="AJ277" s="173"/>
      <c r="AK277" s="174"/>
      <c r="AL277" s="338"/>
      <c r="AM277" s="55" t="s">
        <v>100</v>
      </c>
      <c r="AN277" s="58"/>
      <c r="AO277" s="55" t="s">
        <v>101</v>
      </c>
      <c r="AP277" s="61"/>
      <c r="AQ277" s="338"/>
      <c r="AR277" s="55" t="s">
        <v>100</v>
      </c>
      <c r="AS277" s="58"/>
      <c r="AT277" s="55" t="s">
        <v>101</v>
      </c>
      <c r="AU277" s="61"/>
    </row>
    <row r="278" spans="1:47" ht="16.5" customHeight="1">
      <c r="A278" s="329"/>
      <c r="B278" s="330"/>
      <c r="C278" s="16" t="s">
        <v>43</v>
      </c>
      <c r="D278" s="21"/>
      <c r="E278" s="189" t="s">
        <v>293</v>
      </c>
      <c r="F278" s="190" t="s">
        <v>186</v>
      </c>
      <c r="G278" s="162"/>
      <c r="H278" s="187"/>
      <c r="I278" s="163"/>
      <c r="J278" s="163"/>
      <c r="K278" s="30" t="s">
        <v>64</v>
      </c>
      <c r="L278" s="24"/>
      <c r="M278" s="35"/>
      <c r="N278" s="36"/>
      <c r="O278" s="30" t="s">
        <v>64</v>
      </c>
      <c r="P278" s="24"/>
      <c r="Q278" s="35"/>
      <c r="R278" s="36"/>
      <c r="S278" s="30" t="s">
        <v>64</v>
      </c>
      <c r="T278" s="24"/>
      <c r="U278" s="35"/>
      <c r="V278" s="39"/>
      <c r="W278" s="156"/>
      <c r="X278" s="157"/>
      <c r="Y278" s="165"/>
      <c r="Z278" s="165"/>
      <c r="AA278" s="166"/>
      <c r="AB278" s="167"/>
      <c r="AC278" s="168"/>
      <c r="AD278" s="169"/>
      <c r="AE278" s="170"/>
      <c r="AF278" s="170"/>
      <c r="AG278" s="170"/>
      <c r="AH278" s="171"/>
      <c r="AI278" s="168"/>
      <c r="AJ278" s="169"/>
      <c r="AK278" s="171"/>
      <c r="AL278" s="175"/>
      <c r="AM278" s="158"/>
      <c r="AN278" s="158"/>
      <c r="AO278" s="158"/>
      <c r="AP278" s="159"/>
      <c r="AQ278" s="175"/>
      <c r="AR278" s="158"/>
      <c r="AS278" s="158"/>
      <c r="AT278" s="158"/>
      <c r="AU278" s="159"/>
    </row>
    <row r="279" spans="1:47" ht="16.5" customHeight="1"/>
    <row r="280" spans="1:47" ht="16.5" customHeight="1">
      <c r="A280" s="329">
        <v>24</v>
      </c>
      <c r="B280" s="330" t="s">
        <v>272</v>
      </c>
      <c r="C280" s="14" t="s">
        <v>45</v>
      </c>
      <c r="D280" s="52"/>
      <c r="E280" s="14" t="s">
        <v>46</v>
      </c>
      <c r="F280" s="17"/>
      <c r="G280" s="149">
        <v>6</v>
      </c>
      <c r="H280" s="181"/>
      <c r="I280" s="10"/>
      <c r="J280" s="26"/>
      <c r="K280" s="14" t="s">
        <v>54</v>
      </c>
      <c r="L280" s="9"/>
      <c r="M280" s="31"/>
      <c r="N280" s="32"/>
      <c r="O280" s="14" t="s">
        <v>54</v>
      </c>
      <c r="P280" s="9"/>
      <c r="Q280" s="31"/>
      <c r="R280" s="32"/>
      <c r="S280" s="14" t="s">
        <v>54</v>
      </c>
      <c r="T280" s="9"/>
      <c r="U280" s="31"/>
      <c r="V280" s="37"/>
      <c r="W280" s="353"/>
      <c r="X280" s="354"/>
      <c r="Y280" s="354"/>
      <c r="Z280" s="354"/>
      <c r="AA280" s="354"/>
      <c r="AB280" s="355"/>
      <c r="AC280" s="353"/>
      <c r="AD280" s="354"/>
      <c r="AE280" s="354"/>
      <c r="AF280" s="354"/>
      <c r="AG280" s="354"/>
      <c r="AH280" s="355"/>
      <c r="AI280" s="353">
        <v>6</v>
      </c>
      <c r="AJ280" s="354"/>
      <c r="AK280" s="355"/>
      <c r="AL280" s="336">
        <v>1</v>
      </c>
      <c r="AM280" s="53" t="s">
        <v>0</v>
      </c>
      <c r="AN280" s="339"/>
      <c r="AO280" s="340"/>
      <c r="AP280" s="341"/>
      <c r="AQ280" s="336">
        <v>3</v>
      </c>
      <c r="AR280" s="53" t="s">
        <v>0</v>
      </c>
      <c r="AS280" s="339"/>
      <c r="AT280" s="340"/>
      <c r="AU280" s="341"/>
    </row>
    <row r="281" spans="1:47" ht="16.5" customHeight="1">
      <c r="A281" s="329"/>
      <c r="B281" s="330"/>
      <c r="C281" s="15" t="s">
        <v>36</v>
      </c>
      <c r="D281" s="19" t="s">
        <v>67</v>
      </c>
      <c r="E281" s="15" t="s">
        <v>73</v>
      </c>
      <c r="F281" s="18"/>
      <c r="G281" s="150">
        <v>7</v>
      </c>
      <c r="H281" s="182"/>
      <c r="I281" s="12"/>
      <c r="J281" s="27"/>
      <c r="K281" s="15" t="s">
        <v>55</v>
      </c>
      <c r="L281" s="11"/>
      <c r="M281" s="33"/>
      <c r="N281" s="34"/>
      <c r="O281" s="15" t="s">
        <v>55</v>
      </c>
      <c r="P281" s="11"/>
      <c r="Q281" s="33"/>
      <c r="R281" s="34"/>
      <c r="S281" s="15" t="s">
        <v>55</v>
      </c>
      <c r="T281" s="11"/>
      <c r="U281" s="33"/>
      <c r="V281" s="38"/>
      <c r="W281" s="346"/>
      <c r="X281" s="342"/>
      <c r="Y281" s="342"/>
      <c r="Z281" s="342"/>
      <c r="AA281" s="342"/>
      <c r="AB281" s="344"/>
      <c r="AC281" s="346"/>
      <c r="AD281" s="342"/>
      <c r="AE281" s="342"/>
      <c r="AF281" s="342"/>
      <c r="AG281" s="342"/>
      <c r="AH281" s="344"/>
      <c r="AI281" s="346"/>
      <c r="AJ281" s="342"/>
      <c r="AK281" s="344"/>
      <c r="AL281" s="337"/>
      <c r="AM281" s="54" t="s">
        <v>97</v>
      </c>
      <c r="AN281" s="176"/>
      <c r="AO281" s="54" t="s">
        <v>212</v>
      </c>
      <c r="AP281" s="178"/>
      <c r="AQ281" s="337"/>
      <c r="AR281" s="54" t="s">
        <v>97</v>
      </c>
      <c r="AS281" s="176"/>
      <c r="AT281" s="179" t="s">
        <v>212</v>
      </c>
      <c r="AU281" s="177"/>
    </row>
    <row r="282" spans="1:47" ht="16.5" customHeight="1">
      <c r="A282" s="329"/>
      <c r="B282" s="330"/>
      <c r="C282" s="15" t="s">
        <v>37</v>
      </c>
      <c r="D282" s="20"/>
      <c r="E282" s="15" t="s">
        <v>47</v>
      </c>
      <c r="F282" s="18"/>
      <c r="G282" s="150">
        <v>8</v>
      </c>
      <c r="H282" s="183"/>
      <c r="I282" s="13"/>
      <c r="J282" s="28"/>
      <c r="K282" s="15" t="s">
        <v>56</v>
      </c>
      <c r="L282" s="11"/>
      <c r="M282" s="33"/>
      <c r="N282" s="34"/>
      <c r="O282" s="15" t="s">
        <v>56</v>
      </c>
      <c r="P282" s="11"/>
      <c r="Q282" s="33"/>
      <c r="R282" s="34"/>
      <c r="S282" s="15" t="s">
        <v>56</v>
      </c>
      <c r="T282" s="11"/>
      <c r="U282" s="33"/>
      <c r="V282" s="38"/>
      <c r="W282" s="346"/>
      <c r="X282" s="342"/>
      <c r="Y282" s="342"/>
      <c r="Z282" s="342"/>
      <c r="AA282" s="342"/>
      <c r="AB282" s="344"/>
      <c r="AC282" s="346"/>
      <c r="AD282" s="342"/>
      <c r="AE282" s="342"/>
      <c r="AF282" s="342"/>
      <c r="AG282" s="342"/>
      <c r="AH282" s="344"/>
      <c r="AI282" s="346"/>
      <c r="AJ282" s="342"/>
      <c r="AK282" s="344"/>
      <c r="AL282" s="337"/>
      <c r="AM282" s="54" t="s">
        <v>98</v>
      </c>
      <c r="AN282" s="56"/>
      <c r="AO282" s="54" t="s">
        <v>13</v>
      </c>
      <c r="AP282" s="59"/>
      <c r="AQ282" s="337"/>
      <c r="AR282" s="54" t="s">
        <v>98</v>
      </c>
      <c r="AS282" s="56"/>
      <c r="AT282" s="54" t="s">
        <v>13</v>
      </c>
      <c r="AU282" s="59"/>
    </row>
    <row r="283" spans="1:47" ht="16.5" customHeight="1">
      <c r="A283" s="329"/>
      <c r="B283" s="330"/>
      <c r="C283" s="15" t="s">
        <v>44</v>
      </c>
      <c r="D283" s="19"/>
      <c r="E283" s="15" t="s">
        <v>65</v>
      </c>
      <c r="F283" s="18"/>
      <c r="G283" s="153"/>
      <c r="H283" s="184"/>
      <c r="I283" s="23"/>
      <c r="J283" s="23"/>
      <c r="K283" s="15" t="s">
        <v>57</v>
      </c>
      <c r="L283" s="11"/>
      <c r="M283" s="33"/>
      <c r="N283" s="34"/>
      <c r="O283" s="15" t="s">
        <v>57</v>
      </c>
      <c r="P283" s="11"/>
      <c r="Q283" s="33"/>
      <c r="R283" s="34"/>
      <c r="S283" s="15" t="s">
        <v>57</v>
      </c>
      <c r="T283" s="11"/>
      <c r="U283" s="33"/>
      <c r="V283" s="38"/>
      <c r="W283" s="346"/>
      <c r="X283" s="342"/>
      <c r="Y283" s="342"/>
      <c r="Z283" s="342"/>
      <c r="AA283" s="342"/>
      <c r="AB283" s="344"/>
      <c r="AC283" s="346"/>
      <c r="AD283" s="342"/>
      <c r="AE283" s="342"/>
      <c r="AF283" s="342"/>
      <c r="AG283" s="342"/>
      <c r="AH283" s="344"/>
      <c r="AI283" s="346">
        <v>7</v>
      </c>
      <c r="AJ283" s="342"/>
      <c r="AK283" s="344"/>
      <c r="AL283" s="337"/>
      <c r="AM283" s="54" t="s">
        <v>99</v>
      </c>
      <c r="AN283" s="57"/>
      <c r="AO283" s="54" t="s">
        <v>13</v>
      </c>
      <c r="AP283" s="60"/>
      <c r="AQ283" s="337"/>
      <c r="AR283" s="54" t="s">
        <v>99</v>
      </c>
      <c r="AS283" s="57"/>
      <c r="AT283" s="54" t="s">
        <v>13</v>
      </c>
      <c r="AU283" s="60"/>
    </row>
    <row r="284" spans="1:47" ht="16.5" customHeight="1">
      <c r="A284" s="329"/>
      <c r="B284" s="330"/>
      <c r="C284" s="15" t="s">
        <v>229</v>
      </c>
      <c r="D284" s="4"/>
      <c r="E284" s="15" t="s">
        <v>48</v>
      </c>
      <c r="F284" s="18"/>
      <c r="G284" s="331" t="s">
        <v>12</v>
      </c>
      <c r="H284" s="332"/>
      <c r="I284" s="332"/>
      <c r="J284" s="332"/>
      <c r="K284" s="15" t="s">
        <v>58</v>
      </c>
      <c r="L284" s="11"/>
      <c r="M284" s="33"/>
      <c r="N284" s="34"/>
      <c r="O284" s="15" t="s">
        <v>58</v>
      </c>
      <c r="P284" s="11"/>
      <c r="Q284" s="33"/>
      <c r="R284" s="34"/>
      <c r="S284" s="15" t="s">
        <v>58</v>
      </c>
      <c r="T284" s="11"/>
      <c r="U284" s="33"/>
      <c r="V284" s="38"/>
      <c r="W284" s="346"/>
      <c r="X284" s="342"/>
      <c r="Y284" s="342"/>
      <c r="Z284" s="342"/>
      <c r="AA284" s="342"/>
      <c r="AB284" s="344"/>
      <c r="AC284" s="346"/>
      <c r="AD284" s="342"/>
      <c r="AE284" s="342"/>
      <c r="AF284" s="342"/>
      <c r="AG284" s="342"/>
      <c r="AH284" s="344"/>
      <c r="AI284" s="346"/>
      <c r="AJ284" s="342"/>
      <c r="AK284" s="344"/>
      <c r="AL284" s="338"/>
      <c r="AM284" s="55" t="s">
        <v>100</v>
      </c>
      <c r="AN284" s="58"/>
      <c r="AO284" s="55" t="s">
        <v>101</v>
      </c>
      <c r="AP284" s="61"/>
      <c r="AQ284" s="338"/>
      <c r="AR284" s="55" t="s">
        <v>100</v>
      </c>
      <c r="AS284" s="58"/>
      <c r="AT284" s="55" t="s">
        <v>101</v>
      </c>
      <c r="AU284" s="61"/>
    </row>
    <row r="285" spans="1:47" ht="16.5" customHeight="1">
      <c r="A285" s="329"/>
      <c r="B285" s="330"/>
      <c r="C285" s="15" t="s">
        <v>38</v>
      </c>
      <c r="D285" s="19"/>
      <c r="E285" s="15" t="s">
        <v>49</v>
      </c>
      <c r="F285" s="18"/>
      <c r="G285" s="8" t="s">
        <v>13</v>
      </c>
      <c r="H285" s="180" t="s">
        <v>14</v>
      </c>
      <c r="I285" s="6" t="s">
        <v>15</v>
      </c>
      <c r="J285" s="6" t="s">
        <v>16</v>
      </c>
      <c r="K285" s="15" t="s">
        <v>59</v>
      </c>
      <c r="L285" s="11"/>
      <c r="M285" s="33"/>
      <c r="N285" s="34"/>
      <c r="O285" s="15" t="s">
        <v>59</v>
      </c>
      <c r="P285" s="11"/>
      <c r="Q285" s="33"/>
      <c r="R285" s="34"/>
      <c r="S285" s="15" t="s">
        <v>59</v>
      </c>
      <c r="T285" s="11"/>
      <c r="U285" s="33"/>
      <c r="V285" s="38"/>
      <c r="W285" s="346"/>
      <c r="X285" s="342"/>
      <c r="Y285" s="342"/>
      <c r="Z285" s="342"/>
      <c r="AA285" s="342"/>
      <c r="AB285" s="344"/>
      <c r="AC285" s="346"/>
      <c r="AD285" s="342"/>
      <c r="AE285" s="342"/>
      <c r="AF285" s="342"/>
      <c r="AG285" s="342"/>
      <c r="AH285" s="344"/>
      <c r="AI285" s="346"/>
      <c r="AJ285" s="342"/>
      <c r="AK285" s="344"/>
      <c r="AL285" s="336">
        <v>2</v>
      </c>
      <c r="AM285" s="53" t="s">
        <v>0</v>
      </c>
      <c r="AN285" s="339"/>
      <c r="AO285" s="340"/>
      <c r="AP285" s="341"/>
      <c r="AQ285" s="336">
        <v>4</v>
      </c>
      <c r="AR285" s="53" t="s">
        <v>0</v>
      </c>
      <c r="AS285" s="339"/>
      <c r="AT285" s="340"/>
      <c r="AU285" s="341"/>
    </row>
    <row r="286" spans="1:47" ht="16.5" customHeight="1">
      <c r="A286" s="329"/>
      <c r="B286" s="330"/>
      <c r="C286" s="15" t="s">
        <v>39</v>
      </c>
      <c r="D286" s="19"/>
      <c r="E286" s="15" t="s">
        <v>50</v>
      </c>
      <c r="F286" s="18"/>
      <c r="G286" s="154">
        <v>6</v>
      </c>
      <c r="H286" s="181"/>
      <c r="I286" s="10"/>
      <c r="J286" s="26"/>
      <c r="K286" s="15" t="s">
        <v>60</v>
      </c>
      <c r="L286" s="11"/>
      <c r="M286" s="33"/>
      <c r="N286" s="34"/>
      <c r="O286" s="15" t="s">
        <v>60</v>
      </c>
      <c r="P286" s="11"/>
      <c r="Q286" s="33"/>
      <c r="R286" s="34"/>
      <c r="S286" s="15" t="s">
        <v>60</v>
      </c>
      <c r="T286" s="11"/>
      <c r="U286" s="33"/>
      <c r="V286" s="38"/>
      <c r="W286" s="346"/>
      <c r="X286" s="342"/>
      <c r="Y286" s="342"/>
      <c r="Z286" s="342"/>
      <c r="AA286" s="342"/>
      <c r="AB286" s="344"/>
      <c r="AC286" s="346"/>
      <c r="AD286" s="342"/>
      <c r="AE286" s="342"/>
      <c r="AF286" s="342"/>
      <c r="AG286" s="342"/>
      <c r="AH286" s="344"/>
      <c r="AI286" s="346">
        <v>8</v>
      </c>
      <c r="AJ286" s="342"/>
      <c r="AK286" s="344"/>
      <c r="AL286" s="337"/>
      <c r="AM286" s="54" t="s">
        <v>97</v>
      </c>
      <c r="AN286" s="176"/>
      <c r="AO286" s="179" t="s">
        <v>212</v>
      </c>
      <c r="AP286" s="177"/>
      <c r="AQ286" s="337"/>
      <c r="AR286" s="54" t="s">
        <v>97</v>
      </c>
      <c r="AS286" s="176"/>
      <c r="AT286" s="179" t="s">
        <v>212</v>
      </c>
      <c r="AU286" s="177"/>
    </row>
    <row r="287" spans="1:47" ht="16.5" customHeight="1">
      <c r="A287" s="329"/>
      <c r="B287" s="330"/>
      <c r="C287" s="15" t="s">
        <v>40</v>
      </c>
      <c r="D287" s="19"/>
      <c r="E287" s="15" t="s">
        <v>51</v>
      </c>
      <c r="F287" s="18"/>
      <c r="G287" s="155">
        <v>7</v>
      </c>
      <c r="H287" s="182"/>
      <c r="I287" s="12"/>
      <c r="J287" s="27"/>
      <c r="K287" s="15" t="s">
        <v>61</v>
      </c>
      <c r="L287" s="11"/>
      <c r="M287" s="33"/>
      <c r="N287" s="34"/>
      <c r="O287" s="15" t="s">
        <v>61</v>
      </c>
      <c r="P287" s="11"/>
      <c r="Q287" s="33"/>
      <c r="R287" s="34"/>
      <c r="S287" s="15" t="s">
        <v>61</v>
      </c>
      <c r="T287" s="11"/>
      <c r="U287" s="33"/>
      <c r="V287" s="38"/>
      <c r="W287" s="346"/>
      <c r="X287" s="342"/>
      <c r="Y287" s="342"/>
      <c r="Z287" s="342"/>
      <c r="AA287" s="342"/>
      <c r="AB287" s="344"/>
      <c r="AC287" s="346"/>
      <c r="AD287" s="342"/>
      <c r="AE287" s="342"/>
      <c r="AF287" s="342"/>
      <c r="AG287" s="342"/>
      <c r="AH287" s="344"/>
      <c r="AI287" s="346"/>
      <c r="AJ287" s="342"/>
      <c r="AK287" s="344"/>
      <c r="AL287" s="337"/>
      <c r="AM287" s="54" t="s">
        <v>98</v>
      </c>
      <c r="AN287" s="56"/>
      <c r="AO287" s="54" t="s">
        <v>13</v>
      </c>
      <c r="AP287" s="59"/>
      <c r="AQ287" s="337"/>
      <c r="AR287" s="54" t="s">
        <v>98</v>
      </c>
      <c r="AS287" s="56"/>
      <c r="AT287" s="54" t="s">
        <v>13</v>
      </c>
      <c r="AU287" s="59"/>
    </row>
    <row r="288" spans="1:47" ht="16.5" customHeight="1">
      <c r="A288" s="329"/>
      <c r="B288" s="330"/>
      <c r="C288" s="15" t="s">
        <v>41</v>
      </c>
      <c r="D288" s="19"/>
      <c r="E288" s="15" t="s">
        <v>52</v>
      </c>
      <c r="F288" s="18"/>
      <c r="G288" s="155">
        <v>8</v>
      </c>
      <c r="H288" s="185"/>
      <c r="I288" s="25"/>
      <c r="J288" s="29"/>
      <c r="K288" s="15" t="s">
        <v>62</v>
      </c>
      <c r="L288" s="11"/>
      <c r="M288" s="33"/>
      <c r="N288" s="34"/>
      <c r="O288" s="15" t="s">
        <v>62</v>
      </c>
      <c r="P288" s="11"/>
      <c r="Q288" s="33"/>
      <c r="R288" s="34"/>
      <c r="S288" s="15" t="s">
        <v>62</v>
      </c>
      <c r="T288" s="11"/>
      <c r="U288" s="33"/>
      <c r="V288" s="38"/>
      <c r="W288" s="346"/>
      <c r="X288" s="342"/>
      <c r="Y288" s="342"/>
      <c r="Z288" s="342"/>
      <c r="AA288" s="342"/>
      <c r="AB288" s="344"/>
      <c r="AC288" s="346"/>
      <c r="AD288" s="342"/>
      <c r="AE288" s="342"/>
      <c r="AF288" s="342"/>
      <c r="AG288" s="342"/>
      <c r="AH288" s="344"/>
      <c r="AI288" s="356"/>
      <c r="AJ288" s="343"/>
      <c r="AK288" s="345"/>
      <c r="AL288" s="337"/>
      <c r="AM288" s="54" t="s">
        <v>99</v>
      </c>
      <c r="AN288" s="57"/>
      <c r="AO288" s="54" t="s">
        <v>13</v>
      </c>
      <c r="AP288" s="60"/>
      <c r="AQ288" s="337"/>
      <c r="AR288" s="54" t="s">
        <v>99</v>
      </c>
      <c r="AS288" s="57"/>
      <c r="AT288" s="54" t="s">
        <v>13</v>
      </c>
      <c r="AU288" s="60"/>
    </row>
    <row r="289" spans="1:47" ht="16.5" customHeight="1">
      <c r="A289" s="329"/>
      <c r="B289" s="330"/>
      <c r="C289" s="15" t="s">
        <v>42</v>
      </c>
      <c r="D289" s="19"/>
      <c r="E289" s="16" t="s">
        <v>53</v>
      </c>
      <c r="F289" s="22"/>
      <c r="G289" s="160"/>
      <c r="H289" s="186"/>
      <c r="I289" s="161"/>
      <c r="J289" s="161"/>
      <c r="K289" s="15" t="s">
        <v>63</v>
      </c>
      <c r="L289" s="11"/>
      <c r="M289" s="33"/>
      <c r="N289" s="34"/>
      <c r="O289" s="15" t="s">
        <v>63</v>
      </c>
      <c r="P289" s="11"/>
      <c r="Q289" s="33"/>
      <c r="R289" s="34"/>
      <c r="S289" s="15" t="s">
        <v>63</v>
      </c>
      <c r="T289" s="11"/>
      <c r="U289" s="33"/>
      <c r="V289" s="38"/>
      <c r="W289" s="356"/>
      <c r="X289" s="343"/>
      <c r="Y289" s="343"/>
      <c r="Z289" s="343"/>
      <c r="AA289" s="343"/>
      <c r="AB289" s="345"/>
      <c r="AC289" s="356"/>
      <c r="AD289" s="343"/>
      <c r="AE289" s="343"/>
      <c r="AF289" s="343"/>
      <c r="AG289" s="343"/>
      <c r="AH289" s="345"/>
      <c r="AI289" s="172"/>
      <c r="AJ289" s="173"/>
      <c r="AK289" s="174"/>
      <c r="AL289" s="338"/>
      <c r="AM289" s="55" t="s">
        <v>100</v>
      </c>
      <c r="AN289" s="58"/>
      <c r="AO289" s="55" t="s">
        <v>101</v>
      </c>
      <c r="AP289" s="61"/>
      <c r="AQ289" s="338"/>
      <c r="AR289" s="55" t="s">
        <v>100</v>
      </c>
      <c r="AS289" s="58"/>
      <c r="AT289" s="55" t="s">
        <v>101</v>
      </c>
      <c r="AU289" s="61"/>
    </row>
    <row r="290" spans="1:47" ht="16.5" customHeight="1">
      <c r="A290" s="329"/>
      <c r="B290" s="330"/>
      <c r="C290" s="16" t="s">
        <v>43</v>
      </c>
      <c r="D290" s="21"/>
      <c r="E290" s="189" t="s">
        <v>293</v>
      </c>
      <c r="F290" s="190" t="s">
        <v>186</v>
      </c>
      <c r="G290" s="162"/>
      <c r="H290" s="187"/>
      <c r="I290" s="163"/>
      <c r="J290" s="163"/>
      <c r="K290" s="30" t="s">
        <v>64</v>
      </c>
      <c r="L290" s="24"/>
      <c r="M290" s="35"/>
      <c r="N290" s="36"/>
      <c r="O290" s="30" t="s">
        <v>64</v>
      </c>
      <c r="P290" s="24"/>
      <c r="Q290" s="35"/>
      <c r="R290" s="36"/>
      <c r="S290" s="30" t="s">
        <v>64</v>
      </c>
      <c r="T290" s="24"/>
      <c r="U290" s="35"/>
      <c r="V290" s="39"/>
      <c r="W290" s="156"/>
      <c r="X290" s="157"/>
      <c r="Y290" s="165"/>
      <c r="Z290" s="165"/>
      <c r="AA290" s="166"/>
      <c r="AB290" s="167"/>
      <c r="AC290" s="168"/>
      <c r="AD290" s="169"/>
      <c r="AE290" s="170"/>
      <c r="AF290" s="170"/>
      <c r="AG290" s="170"/>
      <c r="AH290" s="171"/>
      <c r="AI290" s="168"/>
      <c r="AJ290" s="169"/>
      <c r="AK290" s="171"/>
      <c r="AL290" s="175"/>
      <c r="AM290" s="158"/>
      <c r="AN290" s="158"/>
      <c r="AO290" s="158"/>
      <c r="AP290" s="159"/>
      <c r="AQ290" s="175"/>
      <c r="AR290" s="158"/>
      <c r="AS290" s="158"/>
      <c r="AT290" s="158"/>
      <c r="AU290" s="159"/>
    </row>
    <row r="291" spans="1:47" ht="16.5" customHeight="1"/>
    <row r="292" spans="1:47" ht="16.5" customHeight="1">
      <c r="A292" s="329">
        <v>25</v>
      </c>
      <c r="B292" s="330" t="s">
        <v>273</v>
      </c>
      <c r="C292" s="14" t="s">
        <v>45</v>
      </c>
      <c r="D292" s="52"/>
      <c r="E292" s="14" t="s">
        <v>46</v>
      </c>
      <c r="F292" s="17"/>
      <c r="G292" s="149">
        <v>6</v>
      </c>
      <c r="H292" s="181"/>
      <c r="I292" s="10"/>
      <c r="J292" s="26"/>
      <c r="K292" s="14" t="s">
        <v>54</v>
      </c>
      <c r="L292" s="9"/>
      <c r="M292" s="31"/>
      <c r="N292" s="32"/>
      <c r="O292" s="14" t="s">
        <v>54</v>
      </c>
      <c r="P292" s="9"/>
      <c r="Q292" s="31"/>
      <c r="R292" s="32"/>
      <c r="S292" s="14" t="s">
        <v>54</v>
      </c>
      <c r="T292" s="9"/>
      <c r="U292" s="31"/>
      <c r="V292" s="37"/>
      <c r="W292" s="353"/>
      <c r="X292" s="354"/>
      <c r="Y292" s="354"/>
      <c r="Z292" s="354"/>
      <c r="AA292" s="354"/>
      <c r="AB292" s="355"/>
      <c r="AC292" s="353"/>
      <c r="AD292" s="354"/>
      <c r="AE292" s="354"/>
      <c r="AF292" s="354"/>
      <c r="AG292" s="354"/>
      <c r="AH292" s="355"/>
      <c r="AI292" s="353">
        <v>6</v>
      </c>
      <c r="AJ292" s="354"/>
      <c r="AK292" s="355"/>
      <c r="AL292" s="336">
        <v>1</v>
      </c>
      <c r="AM292" s="53" t="s">
        <v>0</v>
      </c>
      <c r="AN292" s="339"/>
      <c r="AO292" s="340"/>
      <c r="AP292" s="341"/>
      <c r="AQ292" s="336">
        <v>3</v>
      </c>
      <c r="AR292" s="53" t="s">
        <v>0</v>
      </c>
      <c r="AS292" s="339"/>
      <c r="AT292" s="340"/>
      <c r="AU292" s="341"/>
    </row>
    <row r="293" spans="1:47" ht="16.5" customHeight="1">
      <c r="A293" s="329"/>
      <c r="B293" s="330"/>
      <c r="C293" s="15" t="s">
        <v>36</v>
      </c>
      <c r="D293" s="19"/>
      <c r="E293" s="15" t="s">
        <v>73</v>
      </c>
      <c r="F293" s="18"/>
      <c r="G293" s="150">
        <v>7</v>
      </c>
      <c r="H293" s="182"/>
      <c r="I293" s="12"/>
      <c r="J293" s="27"/>
      <c r="K293" s="15" t="s">
        <v>55</v>
      </c>
      <c r="L293" s="11"/>
      <c r="M293" s="33"/>
      <c r="N293" s="34"/>
      <c r="O293" s="15" t="s">
        <v>55</v>
      </c>
      <c r="P293" s="11"/>
      <c r="Q293" s="33"/>
      <c r="R293" s="34"/>
      <c r="S293" s="15" t="s">
        <v>55</v>
      </c>
      <c r="T293" s="11"/>
      <c r="U293" s="33"/>
      <c r="V293" s="38"/>
      <c r="W293" s="346"/>
      <c r="X293" s="342"/>
      <c r="Y293" s="342"/>
      <c r="Z293" s="342"/>
      <c r="AA293" s="342"/>
      <c r="AB293" s="344"/>
      <c r="AC293" s="346"/>
      <c r="AD293" s="342"/>
      <c r="AE293" s="342"/>
      <c r="AF293" s="342"/>
      <c r="AG293" s="342"/>
      <c r="AH293" s="344"/>
      <c r="AI293" s="346"/>
      <c r="AJ293" s="342"/>
      <c r="AK293" s="344"/>
      <c r="AL293" s="337"/>
      <c r="AM293" s="54" t="s">
        <v>97</v>
      </c>
      <c r="AN293" s="176"/>
      <c r="AO293" s="54" t="s">
        <v>212</v>
      </c>
      <c r="AP293" s="178"/>
      <c r="AQ293" s="337"/>
      <c r="AR293" s="54" t="s">
        <v>97</v>
      </c>
      <c r="AS293" s="176"/>
      <c r="AT293" s="179" t="s">
        <v>212</v>
      </c>
      <c r="AU293" s="177"/>
    </row>
    <row r="294" spans="1:47" ht="16.5" customHeight="1">
      <c r="A294" s="329"/>
      <c r="B294" s="330"/>
      <c r="C294" s="15" t="s">
        <v>37</v>
      </c>
      <c r="D294" s="20"/>
      <c r="E294" s="15" t="s">
        <v>47</v>
      </c>
      <c r="F294" s="18"/>
      <c r="G294" s="150">
        <v>8</v>
      </c>
      <c r="H294" s="183"/>
      <c r="I294" s="13"/>
      <c r="J294" s="28"/>
      <c r="K294" s="15" t="s">
        <v>56</v>
      </c>
      <c r="L294" s="11"/>
      <c r="M294" s="33"/>
      <c r="N294" s="34"/>
      <c r="O294" s="15" t="s">
        <v>56</v>
      </c>
      <c r="P294" s="11"/>
      <c r="Q294" s="33"/>
      <c r="R294" s="34"/>
      <c r="S294" s="15" t="s">
        <v>56</v>
      </c>
      <c r="T294" s="11"/>
      <c r="U294" s="33"/>
      <c r="V294" s="38"/>
      <c r="W294" s="346"/>
      <c r="X294" s="342"/>
      <c r="Y294" s="342"/>
      <c r="Z294" s="342"/>
      <c r="AA294" s="342"/>
      <c r="AB294" s="344"/>
      <c r="AC294" s="346"/>
      <c r="AD294" s="342"/>
      <c r="AE294" s="342"/>
      <c r="AF294" s="342"/>
      <c r="AG294" s="342"/>
      <c r="AH294" s="344"/>
      <c r="AI294" s="346"/>
      <c r="AJ294" s="342"/>
      <c r="AK294" s="344"/>
      <c r="AL294" s="337"/>
      <c r="AM294" s="54" t="s">
        <v>98</v>
      </c>
      <c r="AN294" s="56"/>
      <c r="AO294" s="54" t="s">
        <v>13</v>
      </c>
      <c r="AP294" s="59"/>
      <c r="AQ294" s="337"/>
      <c r="AR294" s="54" t="s">
        <v>98</v>
      </c>
      <c r="AS294" s="56"/>
      <c r="AT294" s="54" t="s">
        <v>13</v>
      </c>
      <c r="AU294" s="59"/>
    </row>
    <row r="295" spans="1:47" ht="16.5" customHeight="1">
      <c r="A295" s="329"/>
      <c r="B295" s="330"/>
      <c r="C295" s="15" t="s">
        <v>44</v>
      </c>
      <c r="D295" s="19"/>
      <c r="E295" s="15" t="s">
        <v>65</v>
      </c>
      <c r="F295" s="18"/>
      <c r="G295" s="153"/>
      <c r="H295" s="184"/>
      <c r="I295" s="23"/>
      <c r="J295" s="23"/>
      <c r="K295" s="15" t="s">
        <v>57</v>
      </c>
      <c r="L295" s="11"/>
      <c r="M295" s="33"/>
      <c r="N295" s="34"/>
      <c r="O295" s="15" t="s">
        <v>57</v>
      </c>
      <c r="P295" s="11"/>
      <c r="Q295" s="33"/>
      <c r="R295" s="34"/>
      <c r="S295" s="15" t="s">
        <v>57</v>
      </c>
      <c r="T295" s="11"/>
      <c r="U295" s="33"/>
      <c r="V295" s="38"/>
      <c r="W295" s="346"/>
      <c r="X295" s="342"/>
      <c r="Y295" s="342"/>
      <c r="Z295" s="342"/>
      <c r="AA295" s="342"/>
      <c r="AB295" s="344"/>
      <c r="AC295" s="346"/>
      <c r="AD295" s="342"/>
      <c r="AE295" s="342"/>
      <c r="AF295" s="342"/>
      <c r="AG295" s="342"/>
      <c r="AH295" s="344"/>
      <c r="AI295" s="346">
        <v>7</v>
      </c>
      <c r="AJ295" s="342"/>
      <c r="AK295" s="344"/>
      <c r="AL295" s="337"/>
      <c r="AM295" s="54" t="s">
        <v>99</v>
      </c>
      <c r="AN295" s="57"/>
      <c r="AO295" s="54" t="s">
        <v>13</v>
      </c>
      <c r="AP295" s="60"/>
      <c r="AQ295" s="337"/>
      <c r="AR295" s="54" t="s">
        <v>99</v>
      </c>
      <c r="AS295" s="57"/>
      <c r="AT295" s="54" t="s">
        <v>13</v>
      </c>
      <c r="AU295" s="60"/>
    </row>
    <row r="296" spans="1:47" ht="16.5" customHeight="1">
      <c r="A296" s="329"/>
      <c r="B296" s="330"/>
      <c r="C296" s="15" t="s">
        <v>229</v>
      </c>
      <c r="D296" s="4"/>
      <c r="E296" s="15" t="s">
        <v>48</v>
      </c>
      <c r="F296" s="18"/>
      <c r="G296" s="331" t="s">
        <v>12</v>
      </c>
      <c r="H296" s="332"/>
      <c r="I296" s="332"/>
      <c r="J296" s="332"/>
      <c r="K296" s="15" t="s">
        <v>58</v>
      </c>
      <c r="L296" s="11"/>
      <c r="M296" s="33"/>
      <c r="N296" s="34"/>
      <c r="O296" s="15" t="s">
        <v>58</v>
      </c>
      <c r="P296" s="11"/>
      <c r="Q296" s="33"/>
      <c r="R296" s="34"/>
      <c r="S296" s="15" t="s">
        <v>58</v>
      </c>
      <c r="T296" s="11"/>
      <c r="U296" s="33"/>
      <c r="V296" s="38"/>
      <c r="W296" s="346"/>
      <c r="X296" s="342"/>
      <c r="Y296" s="342"/>
      <c r="Z296" s="342"/>
      <c r="AA296" s="342"/>
      <c r="AB296" s="344"/>
      <c r="AC296" s="346"/>
      <c r="AD296" s="342"/>
      <c r="AE296" s="342"/>
      <c r="AF296" s="342"/>
      <c r="AG296" s="342"/>
      <c r="AH296" s="344"/>
      <c r="AI296" s="346"/>
      <c r="AJ296" s="342"/>
      <c r="AK296" s="344"/>
      <c r="AL296" s="338"/>
      <c r="AM296" s="55" t="s">
        <v>100</v>
      </c>
      <c r="AN296" s="58"/>
      <c r="AO296" s="55" t="s">
        <v>101</v>
      </c>
      <c r="AP296" s="61"/>
      <c r="AQ296" s="338"/>
      <c r="AR296" s="55" t="s">
        <v>100</v>
      </c>
      <c r="AS296" s="58"/>
      <c r="AT296" s="55" t="s">
        <v>101</v>
      </c>
      <c r="AU296" s="61"/>
    </row>
    <row r="297" spans="1:47" ht="16.5" customHeight="1">
      <c r="A297" s="329"/>
      <c r="B297" s="330"/>
      <c r="C297" s="15" t="s">
        <v>38</v>
      </c>
      <c r="D297" s="19"/>
      <c r="E297" s="15" t="s">
        <v>49</v>
      </c>
      <c r="F297" s="18"/>
      <c r="G297" s="8" t="s">
        <v>13</v>
      </c>
      <c r="H297" s="180" t="s">
        <v>14</v>
      </c>
      <c r="I297" s="6" t="s">
        <v>15</v>
      </c>
      <c r="J297" s="6" t="s">
        <v>16</v>
      </c>
      <c r="K297" s="15" t="s">
        <v>59</v>
      </c>
      <c r="L297" s="11"/>
      <c r="M297" s="33"/>
      <c r="N297" s="34"/>
      <c r="O297" s="15" t="s">
        <v>59</v>
      </c>
      <c r="P297" s="11"/>
      <c r="Q297" s="33"/>
      <c r="R297" s="34"/>
      <c r="S297" s="15" t="s">
        <v>59</v>
      </c>
      <c r="T297" s="11"/>
      <c r="U297" s="33"/>
      <c r="V297" s="38"/>
      <c r="W297" s="346"/>
      <c r="X297" s="342"/>
      <c r="Y297" s="342"/>
      <c r="Z297" s="342"/>
      <c r="AA297" s="342"/>
      <c r="AB297" s="344"/>
      <c r="AC297" s="346"/>
      <c r="AD297" s="342"/>
      <c r="AE297" s="342"/>
      <c r="AF297" s="342"/>
      <c r="AG297" s="342"/>
      <c r="AH297" s="344"/>
      <c r="AI297" s="346"/>
      <c r="AJ297" s="342"/>
      <c r="AK297" s="344"/>
      <c r="AL297" s="336">
        <v>2</v>
      </c>
      <c r="AM297" s="53" t="s">
        <v>0</v>
      </c>
      <c r="AN297" s="339"/>
      <c r="AO297" s="340"/>
      <c r="AP297" s="341"/>
      <c r="AQ297" s="336">
        <v>4</v>
      </c>
      <c r="AR297" s="53" t="s">
        <v>0</v>
      </c>
      <c r="AS297" s="339"/>
      <c r="AT297" s="340"/>
      <c r="AU297" s="341"/>
    </row>
    <row r="298" spans="1:47" ht="16.5" customHeight="1">
      <c r="A298" s="329"/>
      <c r="B298" s="330"/>
      <c r="C298" s="15" t="s">
        <v>39</v>
      </c>
      <c r="D298" s="19"/>
      <c r="E298" s="15" t="s">
        <v>50</v>
      </c>
      <c r="F298" s="18"/>
      <c r="G298" s="154">
        <v>6</v>
      </c>
      <c r="H298" s="181"/>
      <c r="I298" s="10"/>
      <c r="J298" s="26"/>
      <c r="K298" s="15" t="s">
        <v>60</v>
      </c>
      <c r="L298" s="11"/>
      <c r="M298" s="33"/>
      <c r="N298" s="34"/>
      <c r="O298" s="15" t="s">
        <v>60</v>
      </c>
      <c r="P298" s="11"/>
      <c r="Q298" s="33"/>
      <c r="R298" s="34"/>
      <c r="S298" s="15" t="s">
        <v>60</v>
      </c>
      <c r="T298" s="11"/>
      <c r="U298" s="33"/>
      <c r="V298" s="38"/>
      <c r="W298" s="346"/>
      <c r="X298" s="342"/>
      <c r="Y298" s="342"/>
      <c r="Z298" s="342"/>
      <c r="AA298" s="342"/>
      <c r="AB298" s="344"/>
      <c r="AC298" s="346"/>
      <c r="AD298" s="342"/>
      <c r="AE298" s="342"/>
      <c r="AF298" s="342"/>
      <c r="AG298" s="342"/>
      <c r="AH298" s="344"/>
      <c r="AI298" s="346">
        <v>8</v>
      </c>
      <c r="AJ298" s="342"/>
      <c r="AK298" s="344"/>
      <c r="AL298" s="337"/>
      <c r="AM298" s="54" t="s">
        <v>97</v>
      </c>
      <c r="AN298" s="176"/>
      <c r="AO298" s="179" t="s">
        <v>212</v>
      </c>
      <c r="AP298" s="177"/>
      <c r="AQ298" s="337"/>
      <c r="AR298" s="54" t="s">
        <v>97</v>
      </c>
      <c r="AS298" s="176"/>
      <c r="AT298" s="179" t="s">
        <v>212</v>
      </c>
      <c r="AU298" s="177"/>
    </row>
    <row r="299" spans="1:47" ht="16.5" customHeight="1">
      <c r="A299" s="329"/>
      <c r="B299" s="330"/>
      <c r="C299" s="15" t="s">
        <v>40</v>
      </c>
      <c r="D299" s="19"/>
      <c r="E299" s="15" t="s">
        <v>51</v>
      </c>
      <c r="F299" s="18"/>
      <c r="G299" s="155">
        <v>7</v>
      </c>
      <c r="H299" s="182"/>
      <c r="I299" s="12"/>
      <c r="J299" s="27"/>
      <c r="K299" s="15" t="s">
        <v>61</v>
      </c>
      <c r="L299" s="11"/>
      <c r="M299" s="33"/>
      <c r="N299" s="34"/>
      <c r="O299" s="15" t="s">
        <v>61</v>
      </c>
      <c r="P299" s="11"/>
      <c r="Q299" s="33"/>
      <c r="R299" s="34"/>
      <c r="S299" s="15" t="s">
        <v>61</v>
      </c>
      <c r="T299" s="11"/>
      <c r="U299" s="33"/>
      <c r="V299" s="38"/>
      <c r="W299" s="346"/>
      <c r="X299" s="342"/>
      <c r="Y299" s="342"/>
      <c r="Z299" s="342"/>
      <c r="AA299" s="342"/>
      <c r="AB299" s="344"/>
      <c r="AC299" s="346"/>
      <c r="AD299" s="342"/>
      <c r="AE299" s="342"/>
      <c r="AF299" s="342"/>
      <c r="AG299" s="342"/>
      <c r="AH299" s="344"/>
      <c r="AI299" s="346"/>
      <c r="AJ299" s="342"/>
      <c r="AK299" s="344"/>
      <c r="AL299" s="337"/>
      <c r="AM299" s="54" t="s">
        <v>98</v>
      </c>
      <c r="AN299" s="56"/>
      <c r="AO299" s="54" t="s">
        <v>13</v>
      </c>
      <c r="AP299" s="59"/>
      <c r="AQ299" s="337"/>
      <c r="AR299" s="54" t="s">
        <v>98</v>
      </c>
      <c r="AS299" s="56"/>
      <c r="AT299" s="54" t="s">
        <v>13</v>
      </c>
      <c r="AU299" s="59"/>
    </row>
    <row r="300" spans="1:47" ht="16.5" customHeight="1">
      <c r="A300" s="329"/>
      <c r="B300" s="330"/>
      <c r="C300" s="15" t="s">
        <v>41</v>
      </c>
      <c r="D300" s="19"/>
      <c r="E300" s="15" t="s">
        <v>52</v>
      </c>
      <c r="F300" s="18"/>
      <c r="G300" s="155">
        <v>8</v>
      </c>
      <c r="H300" s="185"/>
      <c r="I300" s="25"/>
      <c r="J300" s="29"/>
      <c r="K300" s="15" t="s">
        <v>62</v>
      </c>
      <c r="L300" s="11"/>
      <c r="M300" s="33"/>
      <c r="N300" s="34"/>
      <c r="O300" s="15" t="s">
        <v>62</v>
      </c>
      <c r="P300" s="11"/>
      <c r="Q300" s="33"/>
      <c r="R300" s="34"/>
      <c r="S300" s="15" t="s">
        <v>62</v>
      </c>
      <c r="T300" s="11"/>
      <c r="U300" s="33"/>
      <c r="V300" s="38"/>
      <c r="W300" s="346"/>
      <c r="X300" s="342"/>
      <c r="Y300" s="342"/>
      <c r="Z300" s="342"/>
      <c r="AA300" s="342"/>
      <c r="AB300" s="344"/>
      <c r="AC300" s="346"/>
      <c r="AD300" s="342"/>
      <c r="AE300" s="342"/>
      <c r="AF300" s="342"/>
      <c r="AG300" s="342"/>
      <c r="AH300" s="344"/>
      <c r="AI300" s="356"/>
      <c r="AJ300" s="343"/>
      <c r="AK300" s="345"/>
      <c r="AL300" s="337"/>
      <c r="AM300" s="54" t="s">
        <v>99</v>
      </c>
      <c r="AN300" s="57"/>
      <c r="AO300" s="54" t="s">
        <v>13</v>
      </c>
      <c r="AP300" s="60"/>
      <c r="AQ300" s="337"/>
      <c r="AR300" s="54" t="s">
        <v>99</v>
      </c>
      <c r="AS300" s="57"/>
      <c r="AT300" s="54" t="s">
        <v>13</v>
      </c>
      <c r="AU300" s="60"/>
    </row>
    <row r="301" spans="1:47" ht="16.5" customHeight="1">
      <c r="A301" s="329"/>
      <c r="B301" s="330"/>
      <c r="C301" s="15" t="s">
        <v>42</v>
      </c>
      <c r="D301" s="19"/>
      <c r="E301" s="16" t="s">
        <v>53</v>
      </c>
      <c r="F301" s="22"/>
      <c r="G301" s="160"/>
      <c r="H301" s="186"/>
      <c r="I301" s="161"/>
      <c r="J301" s="161"/>
      <c r="K301" s="15" t="s">
        <v>63</v>
      </c>
      <c r="L301" s="11"/>
      <c r="M301" s="33"/>
      <c r="N301" s="34"/>
      <c r="O301" s="15" t="s">
        <v>63</v>
      </c>
      <c r="P301" s="11"/>
      <c r="Q301" s="33"/>
      <c r="R301" s="34"/>
      <c r="S301" s="15" t="s">
        <v>63</v>
      </c>
      <c r="T301" s="11"/>
      <c r="U301" s="33"/>
      <c r="V301" s="38"/>
      <c r="W301" s="356"/>
      <c r="X301" s="343"/>
      <c r="Y301" s="343"/>
      <c r="Z301" s="343"/>
      <c r="AA301" s="343"/>
      <c r="AB301" s="345"/>
      <c r="AC301" s="356"/>
      <c r="AD301" s="343"/>
      <c r="AE301" s="343"/>
      <c r="AF301" s="343"/>
      <c r="AG301" s="343"/>
      <c r="AH301" s="345"/>
      <c r="AI301" s="172"/>
      <c r="AJ301" s="173"/>
      <c r="AK301" s="174"/>
      <c r="AL301" s="338"/>
      <c r="AM301" s="55" t="s">
        <v>100</v>
      </c>
      <c r="AN301" s="58"/>
      <c r="AO301" s="55" t="s">
        <v>101</v>
      </c>
      <c r="AP301" s="61"/>
      <c r="AQ301" s="338"/>
      <c r="AR301" s="55" t="s">
        <v>100</v>
      </c>
      <c r="AS301" s="58"/>
      <c r="AT301" s="55" t="s">
        <v>101</v>
      </c>
      <c r="AU301" s="61"/>
    </row>
    <row r="302" spans="1:47" ht="16.5" customHeight="1">
      <c r="A302" s="329"/>
      <c r="B302" s="330"/>
      <c r="C302" s="16" t="s">
        <v>43</v>
      </c>
      <c r="D302" s="21"/>
      <c r="E302" s="189" t="s">
        <v>293</v>
      </c>
      <c r="F302" s="190" t="s">
        <v>186</v>
      </c>
      <c r="G302" s="162"/>
      <c r="H302" s="187"/>
      <c r="I302" s="163"/>
      <c r="J302" s="163"/>
      <c r="K302" s="30" t="s">
        <v>64</v>
      </c>
      <c r="L302" s="24"/>
      <c r="M302" s="35"/>
      <c r="N302" s="36"/>
      <c r="O302" s="30" t="s">
        <v>64</v>
      </c>
      <c r="P302" s="24"/>
      <c r="Q302" s="35"/>
      <c r="R302" s="36"/>
      <c r="S302" s="30" t="s">
        <v>64</v>
      </c>
      <c r="T302" s="24"/>
      <c r="U302" s="35"/>
      <c r="V302" s="39"/>
      <c r="W302" s="156"/>
      <c r="X302" s="157"/>
      <c r="Y302" s="165"/>
      <c r="Z302" s="165"/>
      <c r="AA302" s="166"/>
      <c r="AB302" s="167"/>
      <c r="AC302" s="168"/>
      <c r="AD302" s="169"/>
      <c r="AE302" s="170"/>
      <c r="AF302" s="170"/>
      <c r="AG302" s="170"/>
      <c r="AH302" s="171"/>
      <c r="AI302" s="168"/>
      <c r="AJ302" s="169"/>
      <c r="AK302" s="171"/>
      <c r="AL302" s="175"/>
      <c r="AM302" s="158"/>
      <c r="AN302" s="158"/>
      <c r="AO302" s="158"/>
      <c r="AP302" s="159"/>
      <c r="AQ302" s="175"/>
      <c r="AR302" s="158"/>
      <c r="AS302" s="158"/>
      <c r="AT302" s="158"/>
      <c r="AU302" s="159"/>
    </row>
    <row r="303" spans="1:47" ht="16.5" customHeight="1"/>
    <row r="304" spans="1:47" ht="16.5" customHeight="1">
      <c r="A304" s="329">
        <v>26</v>
      </c>
      <c r="B304" s="330" t="s">
        <v>274</v>
      </c>
      <c r="C304" s="14" t="s">
        <v>45</v>
      </c>
      <c r="D304" s="52"/>
      <c r="E304" s="14" t="s">
        <v>46</v>
      </c>
      <c r="F304" s="17"/>
      <c r="G304" s="149">
        <v>6</v>
      </c>
      <c r="H304" s="181"/>
      <c r="I304" s="10"/>
      <c r="J304" s="26"/>
      <c r="K304" s="14" t="s">
        <v>54</v>
      </c>
      <c r="L304" s="9"/>
      <c r="M304" s="31"/>
      <c r="N304" s="32"/>
      <c r="O304" s="14" t="s">
        <v>54</v>
      </c>
      <c r="P304" s="9"/>
      <c r="Q304" s="31"/>
      <c r="R304" s="32"/>
      <c r="S304" s="14" t="s">
        <v>54</v>
      </c>
      <c r="T304" s="9"/>
      <c r="U304" s="31"/>
      <c r="V304" s="37"/>
      <c r="W304" s="353"/>
      <c r="X304" s="354"/>
      <c r="Y304" s="354"/>
      <c r="Z304" s="354"/>
      <c r="AA304" s="354"/>
      <c r="AB304" s="355"/>
      <c r="AC304" s="353"/>
      <c r="AD304" s="354"/>
      <c r="AE304" s="354"/>
      <c r="AF304" s="354"/>
      <c r="AG304" s="354"/>
      <c r="AH304" s="355"/>
      <c r="AI304" s="353">
        <v>6</v>
      </c>
      <c r="AJ304" s="354"/>
      <c r="AK304" s="355"/>
      <c r="AL304" s="336">
        <v>1</v>
      </c>
      <c r="AM304" s="53" t="s">
        <v>0</v>
      </c>
      <c r="AN304" s="339"/>
      <c r="AO304" s="340"/>
      <c r="AP304" s="341"/>
      <c r="AQ304" s="336">
        <v>3</v>
      </c>
      <c r="AR304" s="53" t="s">
        <v>0</v>
      </c>
      <c r="AS304" s="339"/>
      <c r="AT304" s="340"/>
      <c r="AU304" s="341"/>
    </row>
    <row r="305" spans="1:47" ht="16.5" customHeight="1">
      <c r="A305" s="329"/>
      <c r="B305" s="330"/>
      <c r="C305" s="15" t="s">
        <v>36</v>
      </c>
      <c r="D305" s="19"/>
      <c r="E305" s="15" t="s">
        <v>73</v>
      </c>
      <c r="F305" s="18"/>
      <c r="G305" s="150">
        <v>7</v>
      </c>
      <c r="H305" s="182"/>
      <c r="I305" s="12"/>
      <c r="J305" s="27"/>
      <c r="K305" s="15" t="s">
        <v>55</v>
      </c>
      <c r="L305" s="11"/>
      <c r="M305" s="33"/>
      <c r="N305" s="34"/>
      <c r="O305" s="15" t="s">
        <v>55</v>
      </c>
      <c r="P305" s="11"/>
      <c r="Q305" s="33"/>
      <c r="R305" s="34"/>
      <c r="S305" s="15" t="s">
        <v>55</v>
      </c>
      <c r="T305" s="11"/>
      <c r="U305" s="33"/>
      <c r="V305" s="38"/>
      <c r="W305" s="346"/>
      <c r="X305" s="342"/>
      <c r="Y305" s="342"/>
      <c r="Z305" s="342"/>
      <c r="AA305" s="342"/>
      <c r="AB305" s="344"/>
      <c r="AC305" s="346"/>
      <c r="AD305" s="342"/>
      <c r="AE305" s="342"/>
      <c r="AF305" s="342"/>
      <c r="AG305" s="342"/>
      <c r="AH305" s="344"/>
      <c r="AI305" s="346"/>
      <c r="AJ305" s="342"/>
      <c r="AK305" s="344"/>
      <c r="AL305" s="337"/>
      <c r="AM305" s="54" t="s">
        <v>97</v>
      </c>
      <c r="AN305" s="176"/>
      <c r="AO305" s="54" t="s">
        <v>212</v>
      </c>
      <c r="AP305" s="178"/>
      <c r="AQ305" s="337"/>
      <c r="AR305" s="54" t="s">
        <v>97</v>
      </c>
      <c r="AS305" s="176"/>
      <c r="AT305" s="179" t="s">
        <v>212</v>
      </c>
      <c r="AU305" s="177"/>
    </row>
    <row r="306" spans="1:47" ht="16.5" customHeight="1">
      <c r="A306" s="329"/>
      <c r="B306" s="330"/>
      <c r="C306" s="15" t="s">
        <v>37</v>
      </c>
      <c r="D306" s="20"/>
      <c r="E306" s="15" t="s">
        <v>47</v>
      </c>
      <c r="F306" s="18"/>
      <c r="G306" s="150">
        <v>8</v>
      </c>
      <c r="H306" s="183"/>
      <c r="I306" s="13"/>
      <c r="J306" s="28"/>
      <c r="K306" s="15" t="s">
        <v>56</v>
      </c>
      <c r="L306" s="11"/>
      <c r="M306" s="33"/>
      <c r="N306" s="34"/>
      <c r="O306" s="15" t="s">
        <v>56</v>
      </c>
      <c r="P306" s="11"/>
      <c r="Q306" s="33"/>
      <c r="R306" s="34"/>
      <c r="S306" s="15" t="s">
        <v>56</v>
      </c>
      <c r="T306" s="11"/>
      <c r="U306" s="33"/>
      <c r="V306" s="38"/>
      <c r="W306" s="346"/>
      <c r="X306" s="342"/>
      <c r="Y306" s="342"/>
      <c r="Z306" s="342"/>
      <c r="AA306" s="342"/>
      <c r="AB306" s="344"/>
      <c r="AC306" s="346"/>
      <c r="AD306" s="342"/>
      <c r="AE306" s="342"/>
      <c r="AF306" s="342"/>
      <c r="AG306" s="342"/>
      <c r="AH306" s="344"/>
      <c r="AI306" s="346"/>
      <c r="AJ306" s="342"/>
      <c r="AK306" s="344"/>
      <c r="AL306" s="337"/>
      <c r="AM306" s="54" t="s">
        <v>98</v>
      </c>
      <c r="AN306" s="56"/>
      <c r="AO306" s="54" t="s">
        <v>13</v>
      </c>
      <c r="AP306" s="59"/>
      <c r="AQ306" s="337"/>
      <c r="AR306" s="54" t="s">
        <v>98</v>
      </c>
      <c r="AS306" s="56"/>
      <c r="AT306" s="54" t="s">
        <v>13</v>
      </c>
      <c r="AU306" s="59"/>
    </row>
    <row r="307" spans="1:47" ht="16.5" customHeight="1">
      <c r="A307" s="329"/>
      <c r="B307" s="330"/>
      <c r="C307" s="15" t="s">
        <v>44</v>
      </c>
      <c r="D307" s="19"/>
      <c r="E307" s="15" t="s">
        <v>65</v>
      </c>
      <c r="F307" s="18"/>
      <c r="G307" s="153"/>
      <c r="H307" s="184"/>
      <c r="I307" s="23"/>
      <c r="J307" s="23"/>
      <c r="K307" s="15" t="s">
        <v>57</v>
      </c>
      <c r="L307" s="11"/>
      <c r="M307" s="33"/>
      <c r="N307" s="34"/>
      <c r="O307" s="15" t="s">
        <v>57</v>
      </c>
      <c r="P307" s="11"/>
      <c r="Q307" s="33"/>
      <c r="R307" s="34"/>
      <c r="S307" s="15" t="s">
        <v>57</v>
      </c>
      <c r="T307" s="11"/>
      <c r="U307" s="33"/>
      <c r="V307" s="38"/>
      <c r="W307" s="346"/>
      <c r="X307" s="342"/>
      <c r="Y307" s="342"/>
      <c r="Z307" s="342"/>
      <c r="AA307" s="342"/>
      <c r="AB307" s="344"/>
      <c r="AC307" s="346"/>
      <c r="AD307" s="342"/>
      <c r="AE307" s="342"/>
      <c r="AF307" s="342"/>
      <c r="AG307" s="342"/>
      <c r="AH307" s="344"/>
      <c r="AI307" s="346">
        <v>7</v>
      </c>
      <c r="AJ307" s="342"/>
      <c r="AK307" s="344"/>
      <c r="AL307" s="337"/>
      <c r="AM307" s="54" t="s">
        <v>99</v>
      </c>
      <c r="AN307" s="57"/>
      <c r="AO307" s="54" t="s">
        <v>13</v>
      </c>
      <c r="AP307" s="60"/>
      <c r="AQ307" s="337"/>
      <c r="AR307" s="54" t="s">
        <v>99</v>
      </c>
      <c r="AS307" s="57"/>
      <c r="AT307" s="54" t="s">
        <v>13</v>
      </c>
      <c r="AU307" s="60"/>
    </row>
    <row r="308" spans="1:47" ht="16.5" customHeight="1">
      <c r="A308" s="329"/>
      <c r="B308" s="330"/>
      <c r="C308" s="15" t="s">
        <v>229</v>
      </c>
      <c r="D308" s="4"/>
      <c r="E308" s="15" t="s">
        <v>48</v>
      </c>
      <c r="F308" s="18"/>
      <c r="G308" s="331" t="s">
        <v>12</v>
      </c>
      <c r="H308" s="332"/>
      <c r="I308" s="332"/>
      <c r="J308" s="332"/>
      <c r="K308" s="15" t="s">
        <v>58</v>
      </c>
      <c r="L308" s="11"/>
      <c r="M308" s="33"/>
      <c r="N308" s="34"/>
      <c r="O308" s="15" t="s">
        <v>58</v>
      </c>
      <c r="P308" s="11"/>
      <c r="Q308" s="33"/>
      <c r="R308" s="34"/>
      <c r="S308" s="15" t="s">
        <v>58</v>
      </c>
      <c r="T308" s="11"/>
      <c r="U308" s="33"/>
      <c r="V308" s="38"/>
      <c r="W308" s="346"/>
      <c r="X308" s="342"/>
      <c r="Y308" s="342"/>
      <c r="Z308" s="342"/>
      <c r="AA308" s="342"/>
      <c r="AB308" s="344"/>
      <c r="AC308" s="346"/>
      <c r="AD308" s="342"/>
      <c r="AE308" s="342"/>
      <c r="AF308" s="342"/>
      <c r="AG308" s="342"/>
      <c r="AH308" s="344"/>
      <c r="AI308" s="346"/>
      <c r="AJ308" s="342"/>
      <c r="AK308" s="344"/>
      <c r="AL308" s="338"/>
      <c r="AM308" s="55" t="s">
        <v>100</v>
      </c>
      <c r="AN308" s="58"/>
      <c r="AO308" s="55" t="s">
        <v>101</v>
      </c>
      <c r="AP308" s="61"/>
      <c r="AQ308" s="338"/>
      <c r="AR308" s="55" t="s">
        <v>100</v>
      </c>
      <c r="AS308" s="58"/>
      <c r="AT308" s="55" t="s">
        <v>101</v>
      </c>
      <c r="AU308" s="61"/>
    </row>
    <row r="309" spans="1:47" ht="16.5" customHeight="1">
      <c r="A309" s="329"/>
      <c r="B309" s="330"/>
      <c r="C309" s="15" t="s">
        <v>38</v>
      </c>
      <c r="D309" s="19"/>
      <c r="E309" s="15" t="s">
        <v>49</v>
      </c>
      <c r="F309" s="18"/>
      <c r="G309" s="8" t="s">
        <v>13</v>
      </c>
      <c r="H309" s="180" t="s">
        <v>14</v>
      </c>
      <c r="I309" s="6" t="s">
        <v>15</v>
      </c>
      <c r="J309" s="6" t="s">
        <v>16</v>
      </c>
      <c r="K309" s="15" t="s">
        <v>59</v>
      </c>
      <c r="L309" s="11"/>
      <c r="M309" s="33"/>
      <c r="N309" s="34"/>
      <c r="O309" s="15" t="s">
        <v>59</v>
      </c>
      <c r="P309" s="11"/>
      <c r="Q309" s="33"/>
      <c r="R309" s="34"/>
      <c r="S309" s="15" t="s">
        <v>59</v>
      </c>
      <c r="T309" s="11"/>
      <c r="U309" s="33"/>
      <c r="V309" s="38"/>
      <c r="W309" s="346"/>
      <c r="X309" s="342"/>
      <c r="Y309" s="342"/>
      <c r="Z309" s="342"/>
      <c r="AA309" s="342"/>
      <c r="AB309" s="344"/>
      <c r="AC309" s="346"/>
      <c r="AD309" s="342"/>
      <c r="AE309" s="342"/>
      <c r="AF309" s="342"/>
      <c r="AG309" s="342"/>
      <c r="AH309" s="344"/>
      <c r="AI309" s="346"/>
      <c r="AJ309" s="342"/>
      <c r="AK309" s="344"/>
      <c r="AL309" s="336">
        <v>2</v>
      </c>
      <c r="AM309" s="53" t="s">
        <v>0</v>
      </c>
      <c r="AN309" s="339"/>
      <c r="AO309" s="340"/>
      <c r="AP309" s="341"/>
      <c r="AQ309" s="336">
        <v>4</v>
      </c>
      <c r="AR309" s="53" t="s">
        <v>0</v>
      </c>
      <c r="AS309" s="339"/>
      <c r="AT309" s="340"/>
      <c r="AU309" s="341"/>
    </row>
    <row r="310" spans="1:47" ht="16.5" customHeight="1">
      <c r="A310" s="329"/>
      <c r="B310" s="330"/>
      <c r="C310" s="15" t="s">
        <v>39</v>
      </c>
      <c r="D310" s="19"/>
      <c r="E310" s="15" t="s">
        <v>50</v>
      </c>
      <c r="F310" s="18"/>
      <c r="G310" s="154">
        <v>6</v>
      </c>
      <c r="H310" s="181"/>
      <c r="I310" s="10"/>
      <c r="J310" s="26"/>
      <c r="K310" s="15" t="s">
        <v>60</v>
      </c>
      <c r="L310" s="11"/>
      <c r="M310" s="33"/>
      <c r="N310" s="34"/>
      <c r="O310" s="15" t="s">
        <v>60</v>
      </c>
      <c r="P310" s="11"/>
      <c r="Q310" s="33"/>
      <c r="R310" s="34"/>
      <c r="S310" s="15" t="s">
        <v>60</v>
      </c>
      <c r="T310" s="11"/>
      <c r="U310" s="33"/>
      <c r="V310" s="38"/>
      <c r="W310" s="346"/>
      <c r="X310" s="342"/>
      <c r="Y310" s="342"/>
      <c r="Z310" s="342"/>
      <c r="AA310" s="342"/>
      <c r="AB310" s="344"/>
      <c r="AC310" s="346"/>
      <c r="AD310" s="342"/>
      <c r="AE310" s="342"/>
      <c r="AF310" s="342"/>
      <c r="AG310" s="342"/>
      <c r="AH310" s="344"/>
      <c r="AI310" s="346">
        <v>8</v>
      </c>
      <c r="AJ310" s="342"/>
      <c r="AK310" s="344"/>
      <c r="AL310" s="337"/>
      <c r="AM310" s="54" t="s">
        <v>97</v>
      </c>
      <c r="AN310" s="176"/>
      <c r="AO310" s="179" t="s">
        <v>212</v>
      </c>
      <c r="AP310" s="177"/>
      <c r="AQ310" s="337"/>
      <c r="AR310" s="54" t="s">
        <v>97</v>
      </c>
      <c r="AS310" s="176"/>
      <c r="AT310" s="179" t="s">
        <v>212</v>
      </c>
      <c r="AU310" s="177"/>
    </row>
    <row r="311" spans="1:47" ht="16.5" customHeight="1">
      <c r="A311" s="329"/>
      <c r="B311" s="330"/>
      <c r="C311" s="15" t="s">
        <v>40</v>
      </c>
      <c r="D311" s="19"/>
      <c r="E311" s="15" t="s">
        <v>51</v>
      </c>
      <c r="F311" s="18"/>
      <c r="G311" s="155">
        <v>7</v>
      </c>
      <c r="H311" s="182"/>
      <c r="I311" s="12"/>
      <c r="J311" s="27"/>
      <c r="K311" s="15" t="s">
        <v>61</v>
      </c>
      <c r="L311" s="11"/>
      <c r="M311" s="33"/>
      <c r="N311" s="34"/>
      <c r="O311" s="15" t="s">
        <v>61</v>
      </c>
      <c r="P311" s="11"/>
      <c r="Q311" s="33"/>
      <c r="R311" s="34"/>
      <c r="S311" s="15" t="s">
        <v>61</v>
      </c>
      <c r="T311" s="11"/>
      <c r="U311" s="33"/>
      <c r="V311" s="38"/>
      <c r="W311" s="346"/>
      <c r="X311" s="342"/>
      <c r="Y311" s="342"/>
      <c r="Z311" s="342"/>
      <c r="AA311" s="342"/>
      <c r="AB311" s="344"/>
      <c r="AC311" s="346"/>
      <c r="AD311" s="342"/>
      <c r="AE311" s="342"/>
      <c r="AF311" s="342"/>
      <c r="AG311" s="342"/>
      <c r="AH311" s="344"/>
      <c r="AI311" s="346"/>
      <c r="AJ311" s="342"/>
      <c r="AK311" s="344"/>
      <c r="AL311" s="337"/>
      <c r="AM311" s="54" t="s">
        <v>98</v>
      </c>
      <c r="AN311" s="56"/>
      <c r="AO311" s="54" t="s">
        <v>13</v>
      </c>
      <c r="AP311" s="59"/>
      <c r="AQ311" s="337"/>
      <c r="AR311" s="54" t="s">
        <v>98</v>
      </c>
      <c r="AS311" s="56"/>
      <c r="AT311" s="54" t="s">
        <v>13</v>
      </c>
      <c r="AU311" s="59"/>
    </row>
    <row r="312" spans="1:47" ht="16.5" customHeight="1">
      <c r="A312" s="329"/>
      <c r="B312" s="330"/>
      <c r="C312" s="15" t="s">
        <v>41</v>
      </c>
      <c r="D312" s="19"/>
      <c r="E312" s="15" t="s">
        <v>52</v>
      </c>
      <c r="F312" s="18"/>
      <c r="G312" s="155">
        <v>8</v>
      </c>
      <c r="H312" s="185"/>
      <c r="I312" s="25"/>
      <c r="J312" s="29"/>
      <c r="K312" s="15" t="s">
        <v>62</v>
      </c>
      <c r="L312" s="11"/>
      <c r="M312" s="33"/>
      <c r="N312" s="34"/>
      <c r="O312" s="15" t="s">
        <v>62</v>
      </c>
      <c r="P312" s="11"/>
      <c r="Q312" s="33"/>
      <c r="R312" s="34"/>
      <c r="S312" s="15" t="s">
        <v>62</v>
      </c>
      <c r="T312" s="11"/>
      <c r="U312" s="33"/>
      <c r="V312" s="38"/>
      <c r="W312" s="346"/>
      <c r="X312" s="342"/>
      <c r="Y312" s="342"/>
      <c r="Z312" s="342"/>
      <c r="AA312" s="342"/>
      <c r="AB312" s="344"/>
      <c r="AC312" s="346"/>
      <c r="AD312" s="342"/>
      <c r="AE312" s="342"/>
      <c r="AF312" s="342"/>
      <c r="AG312" s="342"/>
      <c r="AH312" s="344"/>
      <c r="AI312" s="356"/>
      <c r="AJ312" s="343"/>
      <c r="AK312" s="345"/>
      <c r="AL312" s="337"/>
      <c r="AM312" s="54" t="s">
        <v>99</v>
      </c>
      <c r="AN312" s="57"/>
      <c r="AO312" s="54" t="s">
        <v>13</v>
      </c>
      <c r="AP312" s="60"/>
      <c r="AQ312" s="337"/>
      <c r="AR312" s="54" t="s">
        <v>99</v>
      </c>
      <c r="AS312" s="57"/>
      <c r="AT312" s="54" t="s">
        <v>13</v>
      </c>
      <c r="AU312" s="60"/>
    </row>
    <row r="313" spans="1:47" ht="16.5" customHeight="1">
      <c r="A313" s="329"/>
      <c r="B313" s="330"/>
      <c r="C313" s="15" t="s">
        <v>42</v>
      </c>
      <c r="D313" s="19"/>
      <c r="E313" s="16" t="s">
        <v>53</v>
      </c>
      <c r="F313" s="22"/>
      <c r="G313" s="160"/>
      <c r="H313" s="186"/>
      <c r="I313" s="161"/>
      <c r="J313" s="161"/>
      <c r="K313" s="15" t="s">
        <v>63</v>
      </c>
      <c r="L313" s="11"/>
      <c r="M313" s="33"/>
      <c r="N313" s="34"/>
      <c r="O313" s="15" t="s">
        <v>63</v>
      </c>
      <c r="P313" s="11"/>
      <c r="Q313" s="33"/>
      <c r="R313" s="34"/>
      <c r="S313" s="15" t="s">
        <v>63</v>
      </c>
      <c r="T313" s="11"/>
      <c r="U313" s="33"/>
      <c r="V313" s="38"/>
      <c r="W313" s="356"/>
      <c r="X313" s="343"/>
      <c r="Y313" s="343"/>
      <c r="Z313" s="343"/>
      <c r="AA313" s="343"/>
      <c r="AB313" s="345"/>
      <c r="AC313" s="356"/>
      <c r="AD313" s="343"/>
      <c r="AE313" s="343"/>
      <c r="AF313" s="343"/>
      <c r="AG313" s="343"/>
      <c r="AH313" s="345"/>
      <c r="AI313" s="172"/>
      <c r="AJ313" s="173"/>
      <c r="AK313" s="174"/>
      <c r="AL313" s="338"/>
      <c r="AM313" s="55" t="s">
        <v>100</v>
      </c>
      <c r="AN313" s="58"/>
      <c r="AO313" s="55" t="s">
        <v>101</v>
      </c>
      <c r="AP313" s="61"/>
      <c r="AQ313" s="338"/>
      <c r="AR313" s="55" t="s">
        <v>100</v>
      </c>
      <c r="AS313" s="58"/>
      <c r="AT313" s="55" t="s">
        <v>101</v>
      </c>
      <c r="AU313" s="61"/>
    </row>
    <row r="314" spans="1:47" ht="16.5" customHeight="1">
      <c r="A314" s="329"/>
      <c r="B314" s="330"/>
      <c r="C314" s="16" t="s">
        <v>43</v>
      </c>
      <c r="D314" s="21"/>
      <c r="E314" s="189" t="s">
        <v>293</v>
      </c>
      <c r="F314" s="190" t="s">
        <v>186</v>
      </c>
      <c r="G314" s="162"/>
      <c r="H314" s="187"/>
      <c r="I314" s="163"/>
      <c r="J314" s="163"/>
      <c r="K314" s="30" t="s">
        <v>64</v>
      </c>
      <c r="L314" s="24"/>
      <c r="M314" s="35"/>
      <c r="N314" s="36"/>
      <c r="O314" s="30" t="s">
        <v>64</v>
      </c>
      <c r="P314" s="24"/>
      <c r="Q314" s="35"/>
      <c r="R314" s="36"/>
      <c r="S314" s="30" t="s">
        <v>64</v>
      </c>
      <c r="T314" s="24"/>
      <c r="U314" s="35"/>
      <c r="V314" s="39"/>
      <c r="W314" s="156"/>
      <c r="X314" s="157"/>
      <c r="Y314" s="165"/>
      <c r="Z314" s="165"/>
      <c r="AA314" s="166"/>
      <c r="AB314" s="167"/>
      <c r="AC314" s="168"/>
      <c r="AD314" s="169"/>
      <c r="AE314" s="170"/>
      <c r="AF314" s="170"/>
      <c r="AG314" s="170"/>
      <c r="AH314" s="171"/>
      <c r="AI314" s="168"/>
      <c r="AJ314" s="169"/>
      <c r="AK314" s="171"/>
      <c r="AL314" s="175"/>
      <c r="AM314" s="158"/>
      <c r="AN314" s="158"/>
      <c r="AO314" s="158"/>
      <c r="AP314" s="159"/>
      <c r="AQ314" s="175"/>
      <c r="AR314" s="158"/>
      <c r="AS314" s="158"/>
      <c r="AT314" s="158"/>
      <c r="AU314" s="159"/>
    </row>
    <row r="315" spans="1:47" ht="16.5" customHeight="1"/>
    <row r="316" spans="1:47" ht="16.5" customHeight="1">
      <c r="A316" s="329">
        <v>27</v>
      </c>
      <c r="B316" s="330" t="s">
        <v>275</v>
      </c>
      <c r="C316" s="14" t="s">
        <v>45</v>
      </c>
      <c r="D316" s="52"/>
      <c r="E316" s="14" t="s">
        <v>46</v>
      </c>
      <c r="F316" s="17"/>
      <c r="G316" s="149">
        <v>6</v>
      </c>
      <c r="H316" s="181"/>
      <c r="I316" s="10"/>
      <c r="J316" s="26"/>
      <c r="K316" s="14" t="s">
        <v>54</v>
      </c>
      <c r="L316" s="9"/>
      <c r="M316" s="31"/>
      <c r="N316" s="32"/>
      <c r="O316" s="14" t="s">
        <v>54</v>
      </c>
      <c r="P316" s="9"/>
      <c r="Q316" s="31"/>
      <c r="R316" s="32"/>
      <c r="S316" s="14" t="s">
        <v>54</v>
      </c>
      <c r="T316" s="9"/>
      <c r="U316" s="31"/>
      <c r="V316" s="37"/>
      <c r="W316" s="353"/>
      <c r="X316" s="354"/>
      <c r="Y316" s="354"/>
      <c r="Z316" s="354"/>
      <c r="AA316" s="354"/>
      <c r="AB316" s="355"/>
      <c r="AC316" s="353"/>
      <c r="AD316" s="354"/>
      <c r="AE316" s="354"/>
      <c r="AF316" s="354"/>
      <c r="AG316" s="354"/>
      <c r="AH316" s="355"/>
      <c r="AI316" s="353">
        <v>6</v>
      </c>
      <c r="AJ316" s="354"/>
      <c r="AK316" s="355"/>
      <c r="AL316" s="336">
        <v>1</v>
      </c>
      <c r="AM316" s="53" t="s">
        <v>0</v>
      </c>
      <c r="AN316" s="339"/>
      <c r="AO316" s="340"/>
      <c r="AP316" s="341"/>
      <c r="AQ316" s="336">
        <v>3</v>
      </c>
      <c r="AR316" s="53" t="s">
        <v>0</v>
      </c>
      <c r="AS316" s="339"/>
      <c r="AT316" s="340"/>
      <c r="AU316" s="341"/>
    </row>
    <row r="317" spans="1:47" ht="16.5" customHeight="1">
      <c r="A317" s="329"/>
      <c r="B317" s="330"/>
      <c r="C317" s="15" t="s">
        <v>36</v>
      </c>
      <c r="D317" s="19"/>
      <c r="E317" s="15" t="s">
        <v>73</v>
      </c>
      <c r="F317" s="18"/>
      <c r="G317" s="150">
        <v>7</v>
      </c>
      <c r="H317" s="182"/>
      <c r="I317" s="12"/>
      <c r="J317" s="27"/>
      <c r="K317" s="15" t="s">
        <v>55</v>
      </c>
      <c r="L317" s="11"/>
      <c r="M317" s="33"/>
      <c r="N317" s="34"/>
      <c r="O317" s="15" t="s">
        <v>55</v>
      </c>
      <c r="P317" s="11"/>
      <c r="Q317" s="33"/>
      <c r="R317" s="34"/>
      <c r="S317" s="15" t="s">
        <v>55</v>
      </c>
      <c r="T317" s="11"/>
      <c r="U317" s="33"/>
      <c r="V317" s="38"/>
      <c r="W317" s="346"/>
      <c r="X317" s="342"/>
      <c r="Y317" s="342"/>
      <c r="Z317" s="342"/>
      <c r="AA317" s="342"/>
      <c r="AB317" s="344"/>
      <c r="AC317" s="346"/>
      <c r="AD317" s="342"/>
      <c r="AE317" s="342"/>
      <c r="AF317" s="342"/>
      <c r="AG317" s="342"/>
      <c r="AH317" s="344"/>
      <c r="AI317" s="346"/>
      <c r="AJ317" s="342"/>
      <c r="AK317" s="344"/>
      <c r="AL317" s="337"/>
      <c r="AM317" s="54" t="s">
        <v>97</v>
      </c>
      <c r="AN317" s="176"/>
      <c r="AO317" s="54" t="s">
        <v>212</v>
      </c>
      <c r="AP317" s="178"/>
      <c r="AQ317" s="337"/>
      <c r="AR317" s="54" t="s">
        <v>97</v>
      </c>
      <c r="AS317" s="176"/>
      <c r="AT317" s="179" t="s">
        <v>212</v>
      </c>
      <c r="AU317" s="177"/>
    </row>
    <row r="318" spans="1:47" ht="16.5" customHeight="1">
      <c r="A318" s="329"/>
      <c r="B318" s="330"/>
      <c r="C318" s="15" t="s">
        <v>37</v>
      </c>
      <c r="D318" s="20"/>
      <c r="E318" s="15" t="s">
        <v>47</v>
      </c>
      <c r="F318" s="18"/>
      <c r="G318" s="150">
        <v>8</v>
      </c>
      <c r="H318" s="183"/>
      <c r="I318" s="13"/>
      <c r="J318" s="28"/>
      <c r="K318" s="15" t="s">
        <v>56</v>
      </c>
      <c r="L318" s="11"/>
      <c r="M318" s="33"/>
      <c r="N318" s="34"/>
      <c r="O318" s="15" t="s">
        <v>56</v>
      </c>
      <c r="P318" s="11"/>
      <c r="Q318" s="33"/>
      <c r="R318" s="34"/>
      <c r="S318" s="15" t="s">
        <v>56</v>
      </c>
      <c r="T318" s="11"/>
      <c r="U318" s="33"/>
      <c r="V318" s="38"/>
      <c r="W318" s="346"/>
      <c r="X318" s="342"/>
      <c r="Y318" s="342"/>
      <c r="Z318" s="342"/>
      <c r="AA318" s="342"/>
      <c r="AB318" s="344"/>
      <c r="AC318" s="346"/>
      <c r="AD318" s="342"/>
      <c r="AE318" s="342"/>
      <c r="AF318" s="342"/>
      <c r="AG318" s="342"/>
      <c r="AH318" s="344"/>
      <c r="AI318" s="346"/>
      <c r="AJ318" s="342"/>
      <c r="AK318" s="344"/>
      <c r="AL318" s="337"/>
      <c r="AM318" s="54" t="s">
        <v>98</v>
      </c>
      <c r="AN318" s="56"/>
      <c r="AO318" s="54" t="s">
        <v>13</v>
      </c>
      <c r="AP318" s="59"/>
      <c r="AQ318" s="337"/>
      <c r="AR318" s="54" t="s">
        <v>98</v>
      </c>
      <c r="AS318" s="56"/>
      <c r="AT318" s="54" t="s">
        <v>13</v>
      </c>
      <c r="AU318" s="59"/>
    </row>
    <row r="319" spans="1:47" ht="16.5" customHeight="1">
      <c r="A319" s="329"/>
      <c r="B319" s="330"/>
      <c r="C319" s="15" t="s">
        <v>44</v>
      </c>
      <c r="D319" s="19"/>
      <c r="E319" s="15" t="s">
        <v>65</v>
      </c>
      <c r="F319" s="18"/>
      <c r="G319" s="153"/>
      <c r="H319" s="184"/>
      <c r="I319" s="23"/>
      <c r="J319" s="23"/>
      <c r="K319" s="15" t="s">
        <v>57</v>
      </c>
      <c r="L319" s="11"/>
      <c r="M319" s="33"/>
      <c r="N319" s="34"/>
      <c r="O319" s="15" t="s">
        <v>57</v>
      </c>
      <c r="P319" s="11"/>
      <c r="Q319" s="33"/>
      <c r="R319" s="34"/>
      <c r="S319" s="15" t="s">
        <v>57</v>
      </c>
      <c r="T319" s="11"/>
      <c r="U319" s="33"/>
      <c r="V319" s="38"/>
      <c r="W319" s="346"/>
      <c r="X319" s="342"/>
      <c r="Y319" s="342"/>
      <c r="Z319" s="342"/>
      <c r="AA319" s="342"/>
      <c r="AB319" s="344"/>
      <c r="AC319" s="346"/>
      <c r="AD319" s="342"/>
      <c r="AE319" s="342"/>
      <c r="AF319" s="342"/>
      <c r="AG319" s="342"/>
      <c r="AH319" s="344"/>
      <c r="AI319" s="346">
        <v>7</v>
      </c>
      <c r="AJ319" s="342"/>
      <c r="AK319" s="344"/>
      <c r="AL319" s="337"/>
      <c r="AM319" s="54" t="s">
        <v>99</v>
      </c>
      <c r="AN319" s="57"/>
      <c r="AO319" s="54" t="s">
        <v>13</v>
      </c>
      <c r="AP319" s="60"/>
      <c r="AQ319" s="337"/>
      <c r="AR319" s="54" t="s">
        <v>99</v>
      </c>
      <c r="AS319" s="57"/>
      <c r="AT319" s="54" t="s">
        <v>13</v>
      </c>
      <c r="AU319" s="60"/>
    </row>
    <row r="320" spans="1:47" ht="16.5" customHeight="1">
      <c r="A320" s="329"/>
      <c r="B320" s="330"/>
      <c r="C320" s="15" t="s">
        <v>229</v>
      </c>
      <c r="D320" s="4"/>
      <c r="E320" s="15" t="s">
        <v>48</v>
      </c>
      <c r="F320" s="18"/>
      <c r="G320" s="331" t="s">
        <v>12</v>
      </c>
      <c r="H320" s="332"/>
      <c r="I320" s="332"/>
      <c r="J320" s="332"/>
      <c r="K320" s="15" t="s">
        <v>58</v>
      </c>
      <c r="L320" s="11"/>
      <c r="M320" s="33"/>
      <c r="N320" s="34"/>
      <c r="O320" s="15" t="s">
        <v>58</v>
      </c>
      <c r="P320" s="11"/>
      <c r="Q320" s="33"/>
      <c r="R320" s="34"/>
      <c r="S320" s="15" t="s">
        <v>58</v>
      </c>
      <c r="T320" s="11"/>
      <c r="U320" s="33"/>
      <c r="V320" s="38"/>
      <c r="W320" s="346"/>
      <c r="X320" s="342"/>
      <c r="Y320" s="342"/>
      <c r="Z320" s="342"/>
      <c r="AA320" s="342"/>
      <c r="AB320" s="344"/>
      <c r="AC320" s="346"/>
      <c r="AD320" s="342"/>
      <c r="AE320" s="342"/>
      <c r="AF320" s="342"/>
      <c r="AG320" s="342"/>
      <c r="AH320" s="344"/>
      <c r="AI320" s="346"/>
      <c r="AJ320" s="342"/>
      <c r="AK320" s="344"/>
      <c r="AL320" s="338"/>
      <c r="AM320" s="55" t="s">
        <v>100</v>
      </c>
      <c r="AN320" s="58"/>
      <c r="AO320" s="55" t="s">
        <v>101</v>
      </c>
      <c r="AP320" s="61"/>
      <c r="AQ320" s="338"/>
      <c r="AR320" s="55" t="s">
        <v>100</v>
      </c>
      <c r="AS320" s="58"/>
      <c r="AT320" s="55" t="s">
        <v>101</v>
      </c>
      <c r="AU320" s="61"/>
    </row>
    <row r="321" spans="1:47" ht="16.5" customHeight="1">
      <c r="A321" s="329"/>
      <c r="B321" s="330"/>
      <c r="C321" s="15" t="s">
        <v>38</v>
      </c>
      <c r="D321" s="19"/>
      <c r="E321" s="15" t="s">
        <v>49</v>
      </c>
      <c r="F321" s="18"/>
      <c r="G321" s="8" t="s">
        <v>13</v>
      </c>
      <c r="H321" s="180" t="s">
        <v>14</v>
      </c>
      <c r="I321" s="6" t="s">
        <v>15</v>
      </c>
      <c r="J321" s="6" t="s">
        <v>16</v>
      </c>
      <c r="K321" s="15" t="s">
        <v>59</v>
      </c>
      <c r="L321" s="11"/>
      <c r="M321" s="33"/>
      <c r="N321" s="34"/>
      <c r="O321" s="15" t="s">
        <v>59</v>
      </c>
      <c r="P321" s="11"/>
      <c r="Q321" s="33"/>
      <c r="R321" s="34"/>
      <c r="S321" s="15" t="s">
        <v>59</v>
      </c>
      <c r="T321" s="11"/>
      <c r="U321" s="33"/>
      <c r="V321" s="38"/>
      <c r="W321" s="346"/>
      <c r="X321" s="342"/>
      <c r="Y321" s="342"/>
      <c r="Z321" s="342"/>
      <c r="AA321" s="342"/>
      <c r="AB321" s="344"/>
      <c r="AC321" s="346"/>
      <c r="AD321" s="342"/>
      <c r="AE321" s="342"/>
      <c r="AF321" s="342"/>
      <c r="AG321" s="342"/>
      <c r="AH321" s="344"/>
      <c r="AI321" s="346"/>
      <c r="AJ321" s="342"/>
      <c r="AK321" s="344"/>
      <c r="AL321" s="336">
        <v>2</v>
      </c>
      <c r="AM321" s="53" t="s">
        <v>0</v>
      </c>
      <c r="AN321" s="339"/>
      <c r="AO321" s="340"/>
      <c r="AP321" s="341"/>
      <c r="AQ321" s="336">
        <v>4</v>
      </c>
      <c r="AR321" s="53" t="s">
        <v>0</v>
      </c>
      <c r="AS321" s="339"/>
      <c r="AT321" s="340"/>
      <c r="AU321" s="341"/>
    </row>
    <row r="322" spans="1:47" ht="16.5" customHeight="1">
      <c r="A322" s="329"/>
      <c r="B322" s="330"/>
      <c r="C322" s="15" t="s">
        <v>39</v>
      </c>
      <c r="D322" s="19"/>
      <c r="E322" s="15" t="s">
        <v>50</v>
      </c>
      <c r="F322" s="18"/>
      <c r="G322" s="154">
        <v>6</v>
      </c>
      <c r="H322" s="181"/>
      <c r="I322" s="10"/>
      <c r="J322" s="26"/>
      <c r="K322" s="15" t="s">
        <v>60</v>
      </c>
      <c r="L322" s="11"/>
      <c r="M322" s="33"/>
      <c r="N322" s="34"/>
      <c r="O322" s="15" t="s">
        <v>60</v>
      </c>
      <c r="P322" s="11"/>
      <c r="Q322" s="33"/>
      <c r="R322" s="34"/>
      <c r="S322" s="15" t="s">
        <v>60</v>
      </c>
      <c r="T322" s="11"/>
      <c r="U322" s="33"/>
      <c r="V322" s="38"/>
      <c r="W322" s="346"/>
      <c r="X322" s="342"/>
      <c r="Y322" s="342"/>
      <c r="Z322" s="342"/>
      <c r="AA322" s="342"/>
      <c r="AB322" s="344"/>
      <c r="AC322" s="346"/>
      <c r="AD322" s="342"/>
      <c r="AE322" s="342"/>
      <c r="AF322" s="342"/>
      <c r="AG322" s="342"/>
      <c r="AH322" s="344"/>
      <c r="AI322" s="346">
        <v>8</v>
      </c>
      <c r="AJ322" s="342"/>
      <c r="AK322" s="344"/>
      <c r="AL322" s="337"/>
      <c r="AM322" s="54" t="s">
        <v>97</v>
      </c>
      <c r="AN322" s="176"/>
      <c r="AO322" s="179" t="s">
        <v>212</v>
      </c>
      <c r="AP322" s="177"/>
      <c r="AQ322" s="337"/>
      <c r="AR322" s="54" t="s">
        <v>97</v>
      </c>
      <c r="AS322" s="176"/>
      <c r="AT322" s="179" t="s">
        <v>212</v>
      </c>
      <c r="AU322" s="177"/>
    </row>
    <row r="323" spans="1:47" ht="16.5" customHeight="1">
      <c r="A323" s="329"/>
      <c r="B323" s="330"/>
      <c r="C323" s="15" t="s">
        <v>40</v>
      </c>
      <c r="D323" s="19"/>
      <c r="E323" s="15" t="s">
        <v>51</v>
      </c>
      <c r="F323" s="18"/>
      <c r="G323" s="155">
        <v>7</v>
      </c>
      <c r="H323" s="182"/>
      <c r="I323" s="12"/>
      <c r="J323" s="27"/>
      <c r="K323" s="15" t="s">
        <v>61</v>
      </c>
      <c r="L323" s="11"/>
      <c r="M323" s="33"/>
      <c r="N323" s="34"/>
      <c r="O323" s="15" t="s">
        <v>61</v>
      </c>
      <c r="P323" s="11"/>
      <c r="Q323" s="33"/>
      <c r="R323" s="34"/>
      <c r="S323" s="15" t="s">
        <v>61</v>
      </c>
      <c r="T323" s="11"/>
      <c r="U323" s="33"/>
      <c r="V323" s="38"/>
      <c r="W323" s="346"/>
      <c r="X323" s="342"/>
      <c r="Y323" s="342"/>
      <c r="Z323" s="342"/>
      <c r="AA323" s="342"/>
      <c r="AB323" s="344"/>
      <c r="AC323" s="346"/>
      <c r="AD323" s="342"/>
      <c r="AE323" s="342"/>
      <c r="AF323" s="342"/>
      <c r="AG323" s="342"/>
      <c r="AH323" s="344"/>
      <c r="AI323" s="346"/>
      <c r="AJ323" s="342"/>
      <c r="AK323" s="344"/>
      <c r="AL323" s="337"/>
      <c r="AM323" s="54" t="s">
        <v>98</v>
      </c>
      <c r="AN323" s="56"/>
      <c r="AO323" s="54" t="s">
        <v>13</v>
      </c>
      <c r="AP323" s="59"/>
      <c r="AQ323" s="337"/>
      <c r="AR323" s="54" t="s">
        <v>98</v>
      </c>
      <c r="AS323" s="56"/>
      <c r="AT323" s="54" t="s">
        <v>13</v>
      </c>
      <c r="AU323" s="59"/>
    </row>
    <row r="324" spans="1:47" ht="16.5" customHeight="1">
      <c r="A324" s="329"/>
      <c r="B324" s="330"/>
      <c r="C324" s="15" t="s">
        <v>41</v>
      </c>
      <c r="D324" s="19"/>
      <c r="E324" s="15" t="s">
        <v>52</v>
      </c>
      <c r="F324" s="18"/>
      <c r="G324" s="155">
        <v>8</v>
      </c>
      <c r="H324" s="185"/>
      <c r="I324" s="25"/>
      <c r="J324" s="29"/>
      <c r="K324" s="15" t="s">
        <v>62</v>
      </c>
      <c r="L324" s="11"/>
      <c r="M324" s="33"/>
      <c r="N324" s="34"/>
      <c r="O324" s="15" t="s">
        <v>62</v>
      </c>
      <c r="P324" s="11"/>
      <c r="Q324" s="33"/>
      <c r="R324" s="34"/>
      <c r="S324" s="15" t="s">
        <v>62</v>
      </c>
      <c r="T324" s="11"/>
      <c r="U324" s="33"/>
      <c r="V324" s="38"/>
      <c r="W324" s="346"/>
      <c r="X324" s="342"/>
      <c r="Y324" s="342"/>
      <c r="Z324" s="342"/>
      <c r="AA324" s="342"/>
      <c r="AB324" s="344"/>
      <c r="AC324" s="346"/>
      <c r="AD324" s="342"/>
      <c r="AE324" s="342"/>
      <c r="AF324" s="342"/>
      <c r="AG324" s="342"/>
      <c r="AH324" s="344"/>
      <c r="AI324" s="356"/>
      <c r="AJ324" s="343"/>
      <c r="AK324" s="345"/>
      <c r="AL324" s="337"/>
      <c r="AM324" s="54" t="s">
        <v>99</v>
      </c>
      <c r="AN324" s="57"/>
      <c r="AO324" s="54" t="s">
        <v>13</v>
      </c>
      <c r="AP324" s="60"/>
      <c r="AQ324" s="337"/>
      <c r="AR324" s="54" t="s">
        <v>99</v>
      </c>
      <c r="AS324" s="57"/>
      <c r="AT324" s="54" t="s">
        <v>13</v>
      </c>
      <c r="AU324" s="60"/>
    </row>
    <row r="325" spans="1:47" ht="16.5" customHeight="1">
      <c r="A325" s="329"/>
      <c r="B325" s="330"/>
      <c r="C325" s="15" t="s">
        <v>42</v>
      </c>
      <c r="D325" s="19"/>
      <c r="E325" s="16" t="s">
        <v>53</v>
      </c>
      <c r="F325" s="22"/>
      <c r="G325" s="160"/>
      <c r="H325" s="186"/>
      <c r="I325" s="161"/>
      <c r="J325" s="161"/>
      <c r="K325" s="15" t="s">
        <v>63</v>
      </c>
      <c r="L325" s="11"/>
      <c r="M325" s="33"/>
      <c r="N325" s="34"/>
      <c r="O325" s="15" t="s">
        <v>63</v>
      </c>
      <c r="P325" s="11"/>
      <c r="Q325" s="33"/>
      <c r="R325" s="34"/>
      <c r="S325" s="15" t="s">
        <v>63</v>
      </c>
      <c r="T325" s="11"/>
      <c r="U325" s="33"/>
      <c r="V325" s="38"/>
      <c r="W325" s="356"/>
      <c r="X325" s="343"/>
      <c r="Y325" s="343"/>
      <c r="Z325" s="343"/>
      <c r="AA325" s="343"/>
      <c r="AB325" s="345"/>
      <c r="AC325" s="356"/>
      <c r="AD325" s="343"/>
      <c r="AE325" s="343"/>
      <c r="AF325" s="343"/>
      <c r="AG325" s="343"/>
      <c r="AH325" s="345"/>
      <c r="AI325" s="172"/>
      <c r="AJ325" s="173"/>
      <c r="AK325" s="174"/>
      <c r="AL325" s="338"/>
      <c r="AM325" s="55" t="s">
        <v>100</v>
      </c>
      <c r="AN325" s="58"/>
      <c r="AO325" s="55" t="s">
        <v>101</v>
      </c>
      <c r="AP325" s="61"/>
      <c r="AQ325" s="338"/>
      <c r="AR325" s="55" t="s">
        <v>100</v>
      </c>
      <c r="AS325" s="58"/>
      <c r="AT325" s="55" t="s">
        <v>101</v>
      </c>
      <c r="AU325" s="61"/>
    </row>
    <row r="326" spans="1:47" ht="16.5" customHeight="1">
      <c r="A326" s="329"/>
      <c r="B326" s="330"/>
      <c r="C326" s="16" t="s">
        <v>43</v>
      </c>
      <c r="D326" s="21"/>
      <c r="E326" s="189" t="s">
        <v>293</v>
      </c>
      <c r="F326" s="190" t="s">
        <v>186</v>
      </c>
      <c r="G326" s="162"/>
      <c r="H326" s="187"/>
      <c r="I326" s="163"/>
      <c r="J326" s="163"/>
      <c r="K326" s="30" t="s">
        <v>64</v>
      </c>
      <c r="L326" s="24"/>
      <c r="M326" s="35"/>
      <c r="N326" s="36"/>
      <c r="O326" s="30" t="s">
        <v>64</v>
      </c>
      <c r="P326" s="24"/>
      <c r="Q326" s="35"/>
      <c r="R326" s="36"/>
      <c r="S326" s="30" t="s">
        <v>64</v>
      </c>
      <c r="T326" s="24"/>
      <c r="U326" s="35"/>
      <c r="V326" s="39"/>
      <c r="W326" s="156"/>
      <c r="X326" s="157"/>
      <c r="Y326" s="165"/>
      <c r="Z326" s="165"/>
      <c r="AA326" s="166"/>
      <c r="AB326" s="167"/>
      <c r="AC326" s="168"/>
      <c r="AD326" s="169"/>
      <c r="AE326" s="170"/>
      <c r="AF326" s="170"/>
      <c r="AG326" s="170"/>
      <c r="AH326" s="171"/>
      <c r="AI326" s="168"/>
      <c r="AJ326" s="169"/>
      <c r="AK326" s="171"/>
      <c r="AL326" s="175"/>
      <c r="AM326" s="158"/>
      <c r="AN326" s="158"/>
      <c r="AO326" s="158"/>
      <c r="AP326" s="159"/>
      <c r="AQ326" s="175"/>
      <c r="AR326" s="158"/>
      <c r="AS326" s="158"/>
      <c r="AT326" s="158"/>
      <c r="AU326" s="159"/>
    </row>
    <row r="327" spans="1:47" ht="16.5" customHeight="1"/>
    <row r="328" spans="1:47" ht="16.5" customHeight="1">
      <c r="A328" s="329">
        <v>28</v>
      </c>
      <c r="B328" s="330" t="s">
        <v>276</v>
      </c>
      <c r="C328" s="14" t="s">
        <v>45</v>
      </c>
      <c r="D328" s="52"/>
      <c r="E328" s="14" t="s">
        <v>46</v>
      </c>
      <c r="F328" s="17"/>
      <c r="G328" s="149">
        <v>6</v>
      </c>
      <c r="H328" s="181"/>
      <c r="I328" s="10"/>
      <c r="J328" s="26"/>
      <c r="K328" s="14" t="s">
        <v>54</v>
      </c>
      <c r="L328" s="9"/>
      <c r="M328" s="31"/>
      <c r="N328" s="32"/>
      <c r="O328" s="14" t="s">
        <v>54</v>
      </c>
      <c r="P328" s="9"/>
      <c r="Q328" s="31"/>
      <c r="R328" s="32"/>
      <c r="S328" s="14" t="s">
        <v>54</v>
      </c>
      <c r="T328" s="9"/>
      <c r="U328" s="31"/>
      <c r="V328" s="37"/>
      <c r="W328" s="353"/>
      <c r="X328" s="354"/>
      <c r="Y328" s="354"/>
      <c r="Z328" s="354"/>
      <c r="AA328" s="354"/>
      <c r="AB328" s="355"/>
      <c r="AC328" s="353"/>
      <c r="AD328" s="354"/>
      <c r="AE328" s="354"/>
      <c r="AF328" s="354"/>
      <c r="AG328" s="354"/>
      <c r="AH328" s="355"/>
      <c r="AI328" s="353">
        <v>6</v>
      </c>
      <c r="AJ328" s="354"/>
      <c r="AK328" s="355"/>
      <c r="AL328" s="336">
        <v>1</v>
      </c>
      <c r="AM328" s="53" t="s">
        <v>0</v>
      </c>
      <c r="AN328" s="339"/>
      <c r="AO328" s="340"/>
      <c r="AP328" s="341"/>
      <c r="AQ328" s="336">
        <v>3</v>
      </c>
      <c r="AR328" s="53" t="s">
        <v>0</v>
      </c>
      <c r="AS328" s="339"/>
      <c r="AT328" s="340"/>
      <c r="AU328" s="341"/>
    </row>
    <row r="329" spans="1:47" ht="16.5" customHeight="1">
      <c r="A329" s="329"/>
      <c r="B329" s="330"/>
      <c r="C329" s="15" t="s">
        <v>36</v>
      </c>
      <c r="D329" s="19"/>
      <c r="E329" s="15" t="s">
        <v>73</v>
      </c>
      <c r="F329" s="18"/>
      <c r="G329" s="150">
        <v>7</v>
      </c>
      <c r="H329" s="182"/>
      <c r="I329" s="12"/>
      <c r="J329" s="27"/>
      <c r="K329" s="15" t="s">
        <v>55</v>
      </c>
      <c r="L329" s="11"/>
      <c r="M329" s="33"/>
      <c r="N329" s="34"/>
      <c r="O329" s="15" t="s">
        <v>55</v>
      </c>
      <c r="P329" s="11"/>
      <c r="Q329" s="33"/>
      <c r="R329" s="34"/>
      <c r="S329" s="15" t="s">
        <v>55</v>
      </c>
      <c r="T329" s="11"/>
      <c r="U329" s="33"/>
      <c r="V329" s="38"/>
      <c r="W329" s="346"/>
      <c r="X329" s="342"/>
      <c r="Y329" s="342"/>
      <c r="Z329" s="342"/>
      <c r="AA329" s="342"/>
      <c r="AB329" s="344"/>
      <c r="AC329" s="346"/>
      <c r="AD329" s="342"/>
      <c r="AE329" s="342"/>
      <c r="AF329" s="342"/>
      <c r="AG329" s="342"/>
      <c r="AH329" s="344"/>
      <c r="AI329" s="346"/>
      <c r="AJ329" s="342"/>
      <c r="AK329" s="344"/>
      <c r="AL329" s="337"/>
      <c r="AM329" s="54" t="s">
        <v>97</v>
      </c>
      <c r="AN329" s="176"/>
      <c r="AO329" s="54" t="s">
        <v>212</v>
      </c>
      <c r="AP329" s="178"/>
      <c r="AQ329" s="337"/>
      <c r="AR329" s="54" t="s">
        <v>97</v>
      </c>
      <c r="AS329" s="176"/>
      <c r="AT329" s="179" t="s">
        <v>212</v>
      </c>
      <c r="AU329" s="177"/>
    </row>
    <row r="330" spans="1:47" ht="16.5" customHeight="1">
      <c r="A330" s="329"/>
      <c r="B330" s="330"/>
      <c r="C330" s="15" t="s">
        <v>37</v>
      </c>
      <c r="D330" s="20"/>
      <c r="E330" s="15" t="s">
        <v>47</v>
      </c>
      <c r="F330" s="18"/>
      <c r="G330" s="150">
        <v>8</v>
      </c>
      <c r="H330" s="183"/>
      <c r="I330" s="13"/>
      <c r="J330" s="28"/>
      <c r="K330" s="15" t="s">
        <v>56</v>
      </c>
      <c r="L330" s="11"/>
      <c r="M330" s="33"/>
      <c r="N330" s="34"/>
      <c r="O330" s="15" t="s">
        <v>56</v>
      </c>
      <c r="P330" s="11"/>
      <c r="Q330" s="33"/>
      <c r="R330" s="34"/>
      <c r="S330" s="15" t="s">
        <v>56</v>
      </c>
      <c r="T330" s="11"/>
      <c r="U330" s="33"/>
      <c r="V330" s="38"/>
      <c r="W330" s="346"/>
      <c r="X330" s="342"/>
      <c r="Y330" s="342"/>
      <c r="Z330" s="342"/>
      <c r="AA330" s="342"/>
      <c r="AB330" s="344"/>
      <c r="AC330" s="346"/>
      <c r="AD330" s="342"/>
      <c r="AE330" s="342"/>
      <c r="AF330" s="342"/>
      <c r="AG330" s="342"/>
      <c r="AH330" s="344"/>
      <c r="AI330" s="346"/>
      <c r="AJ330" s="342"/>
      <c r="AK330" s="344"/>
      <c r="AL330" s="337"/>
      <c r="AM330" s="54" t="s">
        <v>98</v>
      </c>
      <c r="AN330" s="56"/>
      <c r="AO330" s="54" t="s">
        <v>13</v>
      </c>
      <c r="AP330" s="59"/>
      <c r="AQ330" s="337"/>
      <c r="AR330" s="54" t="s">
        <v>98</v>
      </c>
      <c r="AS330" s="56"/>
      <c r="AT330" s="54" t="s">
        <v>13</v>
      </c>
      <c r="AU330" s="59"/>
    </row>
    <row r="331" spans="1:47" ht="16.5" customHeight="1">
      <c r="A331" s="329"/>
      <c r="B331" s="330"/>
      <c r="C331" s="15" t="s">
        <v>44</v>
      </c>
      <c r="D331" s="19"/>
      <c r="E331" s="15" t="s">
        <v>65</v>
      </c>
      <c r="F331" s="18"/>
      <c r="G331" s="153"/>
      <c r="H331" s="184"/>
      <c r="I331" s="23"/>
      <c r="J331" s="23"/>
      <c r="K331" s="15" t="s">
        <v>57</v>
      </c>
      <c r="L331" s="11"/>
      <c r="M331" s="33"/>
      <c r="N331" s="34"/>
      <c r="O331" s="15" t="s">
        <v>57</v>
      </c>
      <c r="P331" s="11"/>
      <c r="Q331" s="33"/>
      <c r="R331" s="34"/>
      <c r="S331" s="15" t="s">
        <v>57</v>
      </c>
      <c r="T331" s="11"/>
      <c r="U331" s="33"/>
      <c r="V331" s="38"/>
      <c r="W331" s="346"/>
      <c r="X331" s="342"/>
      <c r="Y331" s="342"/>
      <c r="Z331" s="342"/>
      <c r="AA331" s="342"/>
      <c r="AB331" s="344"/>
      <c r="AC331" s="346"/>
      <c r="AD331" s="342"/>
      <c r="AE331" s="342"/>
      <c r="AF331" s="342"/>
      <c r="AG331" s="342"/>
      <c r="AH331" s="344"/>
      <c r="AI331" s="346">
        <v>7</v>
      </c>
      <c r="AJ331" s="342"/>
      <c r="AK331" s="344"/>
      <c r="AL331" s="337"/>
      <c r="AM331" s="54" t="s">
        <v>99</v>
      </c>
      <c r="AN331" s="57"/>
      <c r="AO331" s="54" t="s">
        <v>13</v>
      </c>
      <c r="AP331" s="60"/>
      <c r="AQ331" s="337"/>
      <c r="AR331" s="54" t="s">
        <v>99</v>
      </c>
      <c r="AS331" s="57"/>
      <c r="AT331" s="54" t="s">
        <v>13</v>
      </c>
      <c r="AU331" s="60"/>
    </row>
    <row r="332" spans="1:47" ht="16.5" customHeight="1">
      <c r="A332" s="329"/>
      <c r="B332" s="330"/>
      <c r="C332" s="15" t="s">
        <v>229</v>
      </c>
      <c r="D332" s="4"/>
      <c r="E332" s="15" t="s">
        <v>48</v>
      </c>
      <c r="F332" s="18"/>
      <c r="G332" s="331" t="s">
        <v>12</v>
      </c>
      <c r="H332" s="332"/>
      <c r="I332" s="332"/>
      <c r="J332" s="332"/>
      <c r="K332" s="15" t="s">
        <v>58</v>
      </c>
      <c r="L332" s="11"/>
      <c r="M332" s="33"/>
      <c r="N332" s="34"/>
      <c r="O332" s="15" t="s">
        <v>58</v>
      </c>
      <c r="P332" s="11"/>
      <c r="Q332" s="33"/>
      <c r="R332" s="34"/>
      <c r="S332" s="15" t="s">
        <v>58</v>
      </c>
      <c r="T332" s="11"/>
      <c r="U332" s="33"/>
      <c r="V332" s="38"/>
      <c r="W332" s="346"/>
      <c r="X332" s="342"/>
      <c r="Y332" s="342"/>
      <c r="Z332" s="342"/>
      <c r="AA332" s="342"/>
      <c r="AB332" s="344"/>
      <c r="AC332" s="346"/>
      <c r="AD332" s="342"/>
      <c r="AE332" s="342"/>
      <c r="AF332" s="342"/>
      <c r="AG332" s="342"/>
      <c r="AH332" s="344"/>
      <c r="AI332" s="346"/>
      <c r="AJ332" s="342"/>
      <c r="AK332" s="344"/>
      <c r="AL332" s="338"/>
      <c r="AM332" s="55" t="s">
        <v>100</v>
      </c>
      <c r="AN332" s="58"/>
      <c r="AO332" s="55" t="s">
        <v>101</v>
      </c>
      <c r="AP332" s="61"/>
      <c r="AQ332" s="338"/>
      <c r="AR332" s="55" t="s">
        <v>100</v>
      </c>
      <c r="AS332" s="58"/>
      <c r="AT332" s="55" t="s">
        <v>101</v>
      </c>
      <c r="AU332" s="61"/>
    </row>
    <row r="333" spans="1:47" ht="16.5" customHeight="1">
      <c r="A333" s="329"/>
      <c r="B333" s="330"/>
      <c r="C333" s="15" t="s">
        <v>38</v>
      </c>
      <c r="D333" s="19"/>
      <c r="E333" s="15" t="s">
        <v>49</v>
      </c>
      <c r="F333" s="18"/>
      <c r="G333" s="8" t="s">
        <v>13</v>
      </c>
      <c r="H333" s="180" t="s">
        <v>14</v>
      </c>
      <c r="I333" s="6" t="s">
        <v>15</v>
      </c>
      <c r="J333" s="6" t="s">
        <v>16</v>
      </c>
      <c r="K333" s="15" t="s">
        <v>59</v>
      </c>
      <c r="L333" s="11"/>
      <c r="M333" s="33"/>
      <c r="N333" s="34"/>
      <c r="O333" s="15" t="s">
        <v>59</v>
      </c>
      <c r="P333" s="11"/>
      <c r="Q333" s="33"/>
      <c r="R333" s="34"/>
      <c r="S333" s="15" t="s">
        <v>59</v>
      </c>
      <c r="T333" s="11"/>
      <c r="U333" s="33"/>
      <c r="V333" s="38"/>
      <c r="W333" s="346"/>
      <c r="X333" s="342"/>
      <c r="Y333" s="342"/>
      <c r="Z333" s="342"/>
      <c r="AA333" s="342"/>
      <c r="AB333" s="344"/>
      <c r="AC333" s="346"/>
      <c r="AD333" s="342"/>
      <c r="AE333" s="342"/>
      <c r="AF333" s="342"/>
      <c r="AG333" s="342"/>
      <c r="AH333" s="344"/>
      <c r="AI333" s="346"/>
      <c r="AJ333" s="342"/>
      <c r="AK333" s="344"/>
      <c r="AL333" s="336">
        <v>2</v>
      </c>
      <c r="AM333" s="53" t="s">
        <v>0</v>
      </c>
      <c r="AN333" s="339"/>
      <c r="AO333" s="340"/>
      <c r="AP333" s="341"/>
      <c r="AQ333" s="336">
        <v>4</v>
      </c>
      <c r="AR333" s="53" t="s">
        <v>0</v>
      </c>
      <c r="AS333" s="339"/>
      <c r="AT333" s="340"/>
      <c r="AU333" s="341"/>
    </row>
    <row r="334" spans="1:47" ht="16.5" customHeight="1">
      <c r="A334" s="329"/>
      <c r="B334" s="330"/>
      <c r="C334" s="15" t="s">
        <v>39</v>
      </c>
      <c r="D334" s="19"/>
      <c r="E334" s="15" t="s">
        <v>50</v>
      </c>
      <c r="F334" s="18"/>
      <c r="G334" s="154">
        <v>6</v>
      </c>
      <c r="H334" s="181"/>
      <c r="I334" s="10"/>
      <c r="J334" s="26"/>
      <c r="K334" s="15" t="s">
        <v>60</v>
      </c>
      <c r="L334" s="11"/>
      <c r="M334" s="33"/>
      <c r="N334" s="34"/>
      <c r="O334" s="15" t="s">
        <v>60</v>
      </c>
      <c r="P334" s="11"/>
      <c r="Q334" s="33"/>
      <c r="R334" s="34"/>
      <c r="S334" s="15" t="s">
        <v>60</v>
      </c>
      <c r="T334" s="11"/>
      <c r="U334" s="33"/>
      <c r="V334" s="38"/>
      <c r="W334" s="346"/>
      <c r="X334" s="342"/>
      <c r="Y334" s="342"/>
      <c r="Z334" s="342"/>
      <c r="AA334" s="342"/>
      <c r="AB334" s="344"/>
      <c r="AC334" s="346"/>
      <c r="AD334" s="342"/>
      <c r="AE334" s="342"/>
      <c r="AF334" s="342"/>
      <c r="AG334" s="342"/>
      <c r="AH334" s="344"/>
      <c r="AI334" s="346">
        <v>8</v>
      </c>
      <c r="AJ334" s="342"/>
      <c r="AK334" s="344"/>
      <c r="AL334" s="337"/>
      <c r="AM334" s="54" t="s">
        <v>97</v>
      </c>
      <c r="AN334" s="176"/>
      <c r="AO334" s="179" t="s">
        <v>212</v>
      </c>
      <c r="AP334" s="177"/>
      <c r="AQ334" s="337"/>
      <c r="AR334" s="54" t="s">
        <v>97</v>
      </c>
      <c r="AS334" s="176"/>
      <c r="AT334" s="179" t="s">
        <v>212</v>
      </c>
      <c r="AU334" s="177"/>
    </row>
    <row r="335" spans="1:47" ht="16.5" customHeight="1">
      <c r="A335" s="329"/>
      <c r="B335" s="330"/>
      <c r="C335" s="15" t="s">
        <v>40</v>
      </c>
      <c r="D335" s="19"/>
      <c r="E335" s="15" t="s">
        <v>51</v>
      </c>
      <c r="F335" s="18"/>
      <c r="G335" s="155">
        <v>7</v>
      </c>
      <c r="H335" s="182"/>
      <c r="I335" s="12"/>
      <c r="J335" s="27"/>
      <c r="K335" s="15" t="s">
        <v>61</v>
      </c>
      <c r="L335" s="11"/>
      <c r="M335" s="33"/>
      <c r="N335" s="34"/>
      <c r="O335" s="15" t="s">
        <v>61</v>
      </c>
      <c r="P335" s="11"/>
      <c r="Q335" s="33"/>
      <c r="R335" s="34"/>
      <c r="S335" s="15" t="s">
        <v>61</v>
      </c>
      <c r="T335" s="11"/>
      <c r="U335" s="33"/>
      <c r="V335" s="38"/>
      <c r="W335" s="346"/>
      <c r="X335" s="342"/>
      <c r="Y335" s="342"/>
      <c r="Z335" s="342"/>
      <c r="AA335" s="342"/>
      <c r="AB335" s="344"/>
      <c r="AC335" s="346"/>
      <c r="AD335" s="342"/>
      <c r="AE335" s="342"/>
      <c r="AF335" s="342"/>
      <c r="AG335" s="342"/>
      <c r="AH335" s="344"/>
      <c r="AI335" s="346"/>
      <c r="AJ335" s="342"/>
      <c r="AK335" s="344"/>
      <c r="AL335" s="337"/>
      <c r="AM335" s="54" t="s">
        <v>98</v>
      </c>
      <c r="AN335" s="56"/>
      <c r="AO335" s="54" t="s">
        <v>13</v>
      </c>
      <c r="AP335" s="59"/>
      <c r="AQ335" s="337"/>
      <c r="AR335" s="54" t="s">
        <v>98</v>
      </c>
      <c r="AS335" s="56"/>
      <c r="AT335" s="54" t="s">
        <v>13</v>
      </c>
      <c r="AU335" s="59"/>
    </row>
    <row r="336" spans="1:47" ht="16.5" customHeight="1">
      <c r="A336" s="329"/>
      <c r="B336" s="330"/>
      <c r="C336" s="15" t="s">
        <v>41</v>
      </c>
      <c r="D336" s="19"/>
      <c r="E336" s="15" t="s">
        <v>52</v>
      </c>
      <c r="F336" s="18"/>
      <c r="G336" s="155">
        <v>8</v>
      </c>
      <c r="H336" s="185"/>
      <c r="I336" s="25"/>
      <c r="J336" s="29"/>
      <c r="K336" s="15" t="s">
        <v>62</v>
      </c>
      <c r="L336" s="11"/>
      <c r="M336" s="33"/>
      <c r="N336" s="34"/>
      <c r="O336" s="15" t="s">
        <v>62</v>
      </c>
      <c r="P336" s="11"/>
      <c r="Q336" s="33"/>
      <c r="R336" s="34"/>
      <c r="S336" s="15" t="s">
        <v>62</v>
      </c>
      <c r="T336" s="11"/>
      <c r="U336" s="33"/>
      <c r="V336" s="38"/>
      <c r="W336" s="346"/>
      <c r="X336" s="342"/>
      <c r="Y336" s="342"/>
      <c r="Z336" s="342"/>
      <c r="AA336" s="342"/>
      <c r="AB336" s="344"/>
      <c r="AC336" s="346"/>
      <c r="AD336" s="342"/>
      <c r="AE336" s="342"/>
      <c r="AF336" s="342"/>
      <c r="AG336" s="342"/>
      <c r="AH336" s="344"/>
      <c r="AI336" s="356"/>
      <c r="AJ336" s="343"/>
      <c r="AK336" s="345"/>
      <c r="AL336" s="337"/>
      <c r="AM336" s="54" t="s">
        <v>99</v>
      </c>
      <c r="AN336" s="57"/>
      <c r="AO336" s="54" t="s">
        <v>13</v>
      </c>
      <c r="AP336" s="60"/>
      <c r="AQ336" s="337"/>
      <c r="AR336" s="54" t="s">
        <v>99</v>
      </c>
      <c r="AS336" s="57"/>
      <c r="AT336" s="54" t="s">
        <v>13</v>
      </c>
      <c r="AU336" s="60"/>
    </row>
    <row r="337" spans="1:47" ht="16.5" customHeight="1">
      <c r="A337" s="329"/>
      <c r="B337" s="330"/>
      <c r="C337" s="15" t="s">
        <v>42</v>
      </c>
      <c r="D337" s="19"/>
      <c r="E337" s="16" t="s">
        <v>53</v>
      </c>
      <c r="F337" s="22"/>
      <c r="G337" s="160"/>
      <c r="H337" s="186"/>
      <c r="I337" s="161"/>
      <c r="J337" s="161"/>
      <c r="K337" s="15" t="s">
        <v>63</v>
      </c>
      <c r="L337" s="11"/>
      <c r="M337" s="33"/>
      <c r="N337" s="34"/>
      <c r="O337" s="15" t="s">
        <v>63</v>
      </c>
      <c r="P337" s="11"/>
      <c r="Q337" s="33"/>
      <c r="R337" s="34"/>
      <c r="S337" s="15" t="s">
        <v>63</v>
      </c>
      <c r="T337" s="11"/>
      <c r="U337" s="33"/>
      <c r="V337" s="38"/>
      <c r="W337" s="356"/>
      <c r="X337" s="343"/>
      <c r="Y337" s="343"/>
      <c r="Z337" s="343"/>
      <c r="AA337" s="343"/>
      <c r="AB337" s="345"/>
      <c r="AC337" s="356"/>
      <c r="AD337" s="343"/>
      <c r="AE337" s="343"/>
      <c r="AF337" s="343"/>
      <c r="AG337" s="343"/>
      <c r="AH337" s="345"/>
      <c r="AI337" s="172"/>
      <c r="AJ337" s="173"/>
      <c r="AK337" s="174"/>
      <c r="AL337" s="338"/>
      <c r="AM337" s="55" t="s">
        <v>100</v>
      </c>
      <c r="AN337" s="58"/>
      <c r="AO337" s="55" t="s">
        <v>101</v>
      </c>
      <c r="AP337" s="61"/>
      <c r="AQ337" s="338"/>
      <c r="AR337" s="55" t="s">
        <v>100</v>
      </c>
      <c r="AS337" s="58"/>
      <c r="AT337" s="55" t="s">
        <v>101</v>
      </c>
      <c r="AU337" s="61"/>
    </row>
    <row r="338" spans="1:47" ht="16.5" customHeight="1">
      <c r="A338" s="329"/>
      <c r="B338" s="330"/>
      <c r="C338" s="16" t="s">
        <v>43</v>
      </c>
      <c r="D338" s="21"/>
      <c r="E338" s="189" t="s">
        <v>293</v>
      </c>
      <c r="F338" s="190" t="s">
        <v>186</v>
      </c>
      <c r="G338" s="162"/>
      <c r="H338" s="187"/>
      <c r="I338" s="163"/>
      <c r="J338" s="163"/>
      <c r="K338" s="30" t="s">
        <v>64</v>
      </c>
      <c r="L338" s="24"/>
      <c r="M338" s="35"/>
      <c r="N338" s="36"/>
      <c r="O338" s="30" t="s">
        <v>64</v>
      </c>
      <c r="P338" s="24"/>
      <c r="Q338" s="35"/>
      <c r="R338" s="36"/>
      <c r="S338" s="30" t="s">
        <v>64</v>
      </c>
      <c r="T338" s="24"/>
      <c r="U338" s="35"/>
      <c r="V338" s="39"/>
      <c r="W338" s="156"/>
      <c r="X338" s="157"/>
      <c r="Y338" s="165"/>
      <c r="Z338" s="165"/>
      <c r="AA338" s="166"/>
      <c r="AB338" s="167"/>
      <c r="AC338" s="168"/>
      <c r="AD338" s="169"/>
      <c r="AE338" s="170"/>
      <c r="AF338" s="170"/>
      <c r="AG338" s="170"/>
      <c r="AH338" s="171"/>
      <c r="AI338" s="168"/>
      <c r="AJ338" s="169"/>
      <c r="AK338" s="171"/>
      <c r="AL338" s="175"/>
      <c r="AM338" s="158"/>
      <c r="AN338" s="158"/>
      <c r="AO338" s="158"/>
      <c r="AP338" s="159"/>
      <c r="AQ338" s="175"/>
      <c r="AR338" s="158"/>
      <c r="AS338" s="158"/>
      <c r="AT338" s="158"/>
      <c r="AU338" s="159"/>
    </row>
    <row r="339" spans="1:47" ht="16.5" customHeight="1"/>
    <row r="340" spans="1:47" ht="16.5" customHeight="1">
      <c r="A340" s="329">
        <v>29</v>
      </c>
      <c r="B340" s="330" t="s">
        <v>277</v>
      </c>
      <c r="C340" s="14" t="s">
        <v>45</v>
      </c>
      <c r="D340" s="52"/>
      <c r="E340" s="14" t="s">
        <v>46</v>
      </c>
      <c r="F340" s="17"/>
      <c r="G340" s="149">
        <v>6</v>
      </c>
      <c r="H340" s="181"/>
      <c r="I340" s="10"/>
      <c r="J340" s="26"/>
      <c r="K340" s="14" t="s">
        <v>54</v>
      </c>
      <c r="L340" s="9"/>
      <c r="M340" s="31"/>
      <c r="N340" s="32"/>
      <c r="O340" s="14" t="s">
        <v>54</v>
      </c>
      <c r="P340" s="9"/>
      <c r="Q340" s="31"/>
      <c r="R340" s="32"/>
      <c r="S340" s="14" t="s">
        <v>54</v>
      </c>
      <c r="T340" s="9"/>
      <c r="U340" s="31"/>
      <c r="V340" s="37"/>
      <c r="W340" s="353"/>
      <c r="X340" s="354"/>
      <c r="Y340" s="354"/>
      <c r="Z340" s="354"/>
      <c r="AA340" s="354"/>
      <c r="AB340" s="355"/>
      <c r="AC340" s="353"/>
      <c r="AD340" s="354"/>
      <c r="AE340" s="354"/>
      <c r="AF340" s="354"/>
      <c r="AG340" s="354"/>
      <c r="AH340" s="355"/>
      <c r="AI340" s="353">
        <v>6</v>
      </c>
      <c r="AJ340" s="354"/>
      <c r="AK340" s="355"/>
      <c r="AL340" s="336">
        <v>1</v>
      </c>
      <c r="AM340" s="53" t="s">
        <v>0</v>
      </c>
      <c r="AN340" s="339"/>
      <c r="AO340" s="340"/>
      <c r="AP340" s="341"/>
      <c r="AQ340" s="336">
        <v>3</v>
      </c>
      <c r="AR340" s="53" t="s">
        <v>0</v>
      </c>
      <c r="AS340" s="339"/>
      <c r="AT340" s="340"/>
      <c r="AU340" s="341"/>
    </row>
    <row r="341" spans="1:47" ht="16.5" customHeight="1">
      <c r="A341" s="329"/>
      <c r="B341" s="330"/>
      <c r="C341" s="15" t="s">
        <v>36</v>
      </c>
      <c r="D341" s="19"/>
      <c r="E341" s="15" t="s">
        <v>73</v>
      </c>
      <c r="F341" s="18"/>
      <c r="G341" s="150">
        <v>7</v>
      </c>
      <c r="H341" s="182"/>
      <c r="I341" s="12"/>
      <c r="J341" s="27"/>
      <c r="K341" s="15" t="s">
        <v>55</v>
      </c>
      <c r="L341" s="11"/>
      <c r="M341" s="33"/>
      <c r="N341" s="34"/>
      <c r="O341" s="15" t="s">
        <v>55</v>
      </c>
      <c r="P341" s="11"/>
      <c r="Q341" s="33"/>
      <c r="R341" s="34"/>
      <c r="S341" s="15" t="s">
        <v>55</v>
      </c>
      <c r="T341" s="11"/>
      <c r="U341" s="33"/>
      <c r="V341" s="38"/>
      <c r="W341" s="346"/>
      <c r="X341" s="342"/>
      <c r="Y341" s="342"/>
      <c r="Z341" s="342"/>
      <c r="AA341" s="342"/>
      <c r="AB341" s="344"/>
      <c r="AC341" s="346"/>
      <c r="AD341" s="342"/>
      <c r="AE341" s="342"/>
      <c r="AF341" s="342"/>
      <c r="AG341" s="342"/>
      <c r="AH341" s="344"/>
      <c r="AI341" s="346"/>
      <c r="AJ341" s="342"/>
      <c r="AK341" s="344"/>
      <c r="AL341" s="337"/>
      <c r="AM341" s="54" t="s">
        <v>97</v>
      </c>
      <c r="AN341" s="176"/>
      <c r="AO341" s="54" t="s">
        <v>212</v>
      </c>
      <c r="AP341" s="178"/>
      <c r="AQ341" s="337"/>
      <c r="AR341" s="54" t="s">
        <v>97</v>
      </c>
      <c r="AS341" s="176"/>
      <c r="AT341" s="179" t="s">
        <v>212</v>
      </c>
      <c r="AU341" s="177"/>
    </row>
    <row r="342" spans="1:47" ht="16.5" customHeight="1">
      <c r="A342" s="329"/>
      <c r="B342" s="330"/>
      <c r="C342" s="15" t="s">
        <v>37</v>
      </c>
      <c r="D342" s="20"/>
      <c r="E342" s="15" t="s">
        <v>47</v>
      </c>
      <c r="F342" s="18"/>
      <c r="G342" s="150">
        <v>8</v>
      </c>
      <c r="H342" s="183"/>
      <c r="I342" s="13"/>
      <c r="J342" s="28"/>
      <c r="K342" s="15" t="s">
        <v>56</v>
      </c>
      <c r="L342" s="11"/>
      <c r="M342" s="33"/>
      <c r="N342" s="34"/>
      <c r="O342" s="15" t="s">
        <v>56</v>
      </c>
      <c r="P342" s="11"/>
      <c r="Q342" s="33"/>
      <c r="R342" s="34"/>
      <c r="S342" s="15" t="s">
        <v>56</v>
      </c>
      <c r="T342" s="11"/>
      <c r="U342" s="33"/>
      <c r="V342" s="38"/>
      <c r="W342" s="346"/>
      <c r="X342" s="342"/>
      <c r="Y342" s="342"/>
      <c r="Z342" s="342"/>
      <c r="AA342" s="342"/>
      <c r="AB342" s="344"/>
      <c r="AC342" s="346"/>
      <c r="AD342" s="342"/>
      <c r="AE342" s="342"/>
      <c r="AF342" s="342"/>
      <c r="AG342" s="342"/>
      <c r="AH342" s="344"/>
      <c r="AI342" s="346"/>
      <c r="AJ342" s="342"/>
      <c r="AK342" s="344"/>
      <c r="AL342" s="337"/>
      <c r="AM342" s="54" t="s">
        <v>98</v>
      </c>
      <c r="AN342" s="56"/>
      <c r="AO342" s="54" t="s">
        <v>13</v>
      </c>
      <c r="AP342" s="59"/>
      <c r="AQ342" s="337"/>
      <c r="AR342" s="54" t="s">
        <v>98</v>
      </c>
      <c r="AS342" s="56"/>
      <c r="AT342" s="54" t="s">
        <v>13</v>
      </c>
      <c r="AU342" s="59"/>
    </row>
    <row r="343" spans="1:47" ht="16.5" customHeight="1">
      <c r="A343" s="329"/>
      <c r="B343" s="330"/>
      <c r="C343" s="15" t="s">
        <v>44</v>
      </c>
      <c r="D343" s="19"/>
      <c r="E343" s="15" t="s">
        <v>65</v>
      </c>
      <c r="F343" s="18"/>
      <c r="G343" s="153"/>
      <c r="H343" s="184"/>
      <c r="I343" s="23"/>
      <c r="J343" s="23"/>
      <c r="K343" s="15" t="s">
        <v>57</v>
      </c>
      <c r="L343" s="11"/>
      <c r="M343" s="33"/>
      <c r="N343" s="34"/>
      <c r="O343" s="15" t="s">
        <v>57</v>
      </c>
      <c r="P343" s="11"/>
      <c r="Q343" s="33"/>
      <c r="R343" s="34"/>
      <c r="S343" s="15" t="s">
        <v>57</v>
      </c>
      <c r="T343" s="11"/>
      <c r="U343" s="33"/>
      <c r="V343" s="38"/>
      <c r="W343" s="346"/>
      <c r="X343" s="342"/>
      <c r="Y343" s="342"/>
      <c r="Z343" s="342"/>
      <c r="AA343" s="342"/>
      <c r="AB343" s="344"/>
      <c r="AC343" s="346"/>
      <c r="AD343" s="342"/>
      <c r="AE343" s="342"/>
      <c r="AF343" s="342"/>
      <c r="AG343" s="342"/>
      <c r="AH343" s="344"/>
      <c r="AI343" s="346">
        <v>7</v>
      </c>
      <c r="AJ343" s="342"/>
      <c r="AK343" s="344"/>
      <c r="AL343" s="337"/>
      <c r="AM343" s="54" t="s">
        <v>99</v>
      </c>
      <c r="AN343" s="57"/>
      <c r="AO343" s="54" t="s">
        <v>13</v>
      </c>
      <c r="AP343" s="60"/>
      <c r="AQ343" s="337"/>
      <c r="AR343" s="54" t="s">
        <v>99</v>
      </c>
      <c r="AS343" s="57"/>
      <c r="AT343" s="54" t="s">
        <v>13</v>
      </c>
      <c r="AU343" s="60"/>
    </row>
    <row r="344" spans="1:47" ht="16.5" customHeight="1">
      <c r="A344" s="329"/>
      <c r="B344" s="330"/>
      <c r="C344" s="15" t="s">
        <v>229</v>
      </c>
      <c r="D344" s="4"/>
      <c r="E344" s="15" t="s">
        <v>48</v>
      </c>
      <c r="F344" s="18"/>
      <c r="G344" s="331" t="s">
        <v>12</v>
      </c>
      <c r="H344" s="332"/>
      <c r="I344" s="332"/>
      <c r="J344" s="332"/>
      <c r="K344" s="15" t="s">
        <v>58</v>
      </c>
      <c r="L344" s="11"/>
      <c r="M344" s="33"/>
      <c r="N344" s="34"/>
      <c r="O344" s="15" t="s">
        <v>58</v>
      </c>
      <c r="P344" s="11"/>
      <c r="Q344" s="33"/>
      <c r="R344" s="34"/>
      <c r="S344" s="15" t="s">
        <v>58</v>
      </c>
      <c r="T344" s="11"/>
      <c r="U344" s="33"/>
      <c r="V344" s="38"/>
      <c r="W344" s="346"/>
      <c r="X344" s="342"/>
      <c r="Y344" s="342"/>
      <c r="Z344" s="342"/>
      <c r="AA344" s="342"/>
      <c r="AB344" s="344"/>
      <c r="AC344" s="346"/>
      <c r="AD344" s="342"/>
      <c r="AE344" s="342"/>
      <c r="AF344" s="342"/>
      <c r="AG344" s="342"/>
      <c r="AH344" s="344"/>
      <c r="AI344" s="346"/>
      <c r="AJ344" s="342"/>
      <c r="AK344" s="344"/>
      <c r="AL344" s="338"/>
      <c r="AM344" s="55" t="s">
        <v>100</v>
      </c>
      <c r="AN344" s="58"/>
      <c r="AO344" s="55" t="s">
        <v>101</v>
      </c>
      <c r="AP344" s="61"/>
      <c r="AQ344" s="338"/>
      <c r="AR344" s="55" t="s">
        <v>100</v>
      </c>
      <c r="AS344" s="58"/>
      <c r="AT344" s="55" t="s">
        <v>101</v>
      </c>
      <c r="AU344" s="61"/>
    </row>
    <row r="345" spans="1:47" ht="16.5" customHeight="1">
      <c r="A345" s="329"/>
      <c r="B345" s="330"/>
      <c r="C345" s="15" t="s">
        <v>38</v>
      </c>
      <c r="D345" s="19"/>
      <c r="E345" s="15" t="s">
        <v>49</v>
      </c>
      <c r="F345" s="18"/>
      <c r="G345" s="8" t="s">
        <v>13</v>
      </c>
      <c r="H345" s="180" t="s">
        <v>14</v>
      </c>
      <c r="I345" s="6" t="s">
        <v>15</v>
      </c>
      <c r="J345" s="6" t="s">
        <v>16</v>
      </c>
      <c r="K345" s="15" t="s">
        <v>59</v>
      </c>
      <c r="L345" s="11"/>
      <c r="M345" s="33"/>
      <c r="N345" s="34"/>
      <c r="O345" s="15" t="s">
        <v>59</v>
      </c>
      <c r="P345" s="11"/>
      <c r="Q345" s="33"/>
      <c r="R345" s="34"/>
      <c r="S345" s="15" t="s">
        <v>59</v>
      </c>
      <c r="T345" s="11"/>
      <c r="U345" s="33"/>
      <c r="V345" s="38"/>
      <c r="W345" s="346"/>
      <c r="X345" s="342"/>
      <c r="Y345" s="342"/>
      <c r="Z345" s="342"/>
      <c r="AA345" s="342"/>
      <c r="AB345" s="344"/>
      <c r="AC345" s="346"/>
      <c r="AD345" s="342"/>
      <c r="AE345" s="342"/>
      <c r="AF345" s="342"/>
      <c r="AG345" s="342"/>
      <c r="AH345" s="344"/>
      <c r="AI345" s="346"/>
      <c r="AJ345" s="342"/>
      <c r="AK345" s="344"/>
      <c r="AL345" s="336">
        <v>2</v>
      </c>
      <c r="AM345" s="53" t="s">
        <v>0</v>
      </c>
      <c r="AN345" s="339"/>
      <c r="AO345" s="340"/>
      <c r="AP345" s="341"/>
      <c r="AQ345" s="336">
        <v>4</v>
      </c>
      <c r="AR345" s="53" t="s">
        <v>0</v>
      </c>
      <c r="AS345" s="339"/>
      <c r="AT345" s="340"/>
      <c r="AU345" s="341"/>
    </row>
    <row r="346" spans="1:47" ht="16.5" customHeight="1">
      <c r="A346" s="329"/>
      <c r="B346" s="330"/>
      <c r="C346" s="15" t="s">
        <v>39</v>
      </c>
      <c r="D346" s="19"/>
      <c r="E346" s="15" t="s">
        <v>50</v>
      </c>
      <c r="F346" s="18"/>
      <c r="G346" s="154">
        <v>6</v>
      </c>
      <c r="H346" s="181"/>
      <c r="I346" s="10"/>
      <c r="J346" s="26"/>
      <c r="K346" s="15" t="s">
        <v>60</v>
      </c>
      <c r="L346" s="11"/>
      <c r="M346" s="33"/>
      <c r="N346" s="34"/>
      <c r="O346" s="15" t="s">
        <v>60</v>
      </c>
      <c r="P346" s="11"/>
      <c r="Q346" s="33"/>
      <c r="R346" s="34"/>
      <c r="S346" s="15" t="s">
        <v>60</v>
      </c>
      <c r="T346" s="11"/>
      <c r="U346" s="33"/>
      <c r="V346" s="38"/>
      <c r="W346" s="346"/>
      <c r="X346" s="342"/>
      <c r="Y346" s="342"/>
      <c r="Z346" s="342"/>
      <c r="AA346" s="342"/>
      <c r="AB346" s="344"/>
      <c r="AC346" s="346"/>
      <c r="AD346" s="342"/>
      <c r="AE346" s="342"/>
      <c r="AF346" s="342"/>
      <c r="AG346" s="342"/>
      <c r="AH346" s="344"/>
      <c r="AI346" s="346">
        <v>8</v>
      </c>
      <c r="AJ346" s="342"/>
      <c r="AK346" s="344"/>
      <c r="AL346" s="337"/>
      <c r="AM346" s="54" t="s">
        <v>97</v>
      </c>
      <c r="AN346" s="176"/>
      <c r="AO346" s="179" t="s">
        <v>212</v>
      </c>
      <c r="AP346" s="177"/>
      <c r="AQ346" s="337"/>
      <c r="AR346" s="54" t="s">
        <v>97</v>
      </c>
      <c r="AS346" s="176"/>
      <c r="AT346" s="179" t="s">
        <v>212</v>
      </c>
      <c r="AU346" s="177"/>
    </row>
    <row r="347" spans="1:47" ht="16.5" customHeight="1">
      <c r="A347" s="329"/>
      <c r="B347" s="330"/>
      <c r="C347" s="15" t="s">
        <v>40</v>
      </c>
      <c r="D347" s="19"/>
      <c r="E347" s="15" t="s">
        <v>51</v>
      </c>
      <c r="F347" s="18"/>
      <c r="G347" s="155">
        <v>7</v>
      </c>
      <c r="H347" s="182"/>
      <c r="I347" s="12"/>
      <c r="J347" s="27"/>
      <c r="K347" s="15" t="s">
        <v>61</v>
      </c>
      <c r="L347" s="11"/>
      <c r="M347" s="33"/>
      <c r="N347" s="34"/>
      <c r="O347" s="15" t="s">
        <v>61</v>
      </c>
      <c r="P347" s="11"/>
      <c r="Q347" s="33"/>
      <c r="R347" s="34"/>
      <c r="S347" s="15" t="s">
        <v>61</v>
      </c>
      <c r="T347" s="11"/>
      <c r="U347" s="33"/>
      <c r="V347" s="38"/>
      <c r="W347" s="346"/>
      <c r="X347" s="342"/>
      <c r="Y347" s="342"/>
      <c r="Z347" s="342"/>
      <c r="AA347" s="342"/>
      <c r="AB347" s="344"/>
      <c r="AC347" s="346"/>
      <c r="AD347" s="342"/>
      <c r="AE347" s="342"/>
      <c r="AF347" s="342"/>
      <c r="AG347" s="342"/>
      <c r="AH347" s="344"/>
      <c r="AI347" s="346"/>
      <c r="AJ347" s="342"/>
      <c r="AK347" s="344"/>
      <c r="AL347" s="337"/>
      <c r="AM347" s="54" t="s">
        <v>98</v>
      </c>
      <c r="AN347" s="56"/>
      <c r="AO347" s="54" t="s">
        <v>13</v>
      </c>
      <c r="AP347" s="59"/>
      <c r="AQ347" s="337"/>
      <c r="AR347" s="54" t="s">
        <v>98</v>
      </c>
      <c r="AS347" s="56"/>
      <c r="AT347" s="54" t="s">
        <v>13</v>
      </c>
      <c r="AU347" s="59"/>
    </row>
    <row r="348" spans="1:47" ht="16.5" customHeight="1">
      <c r="A348" s="329"/>
      <c r="B348" s="330"/>
      <c r="C348" s="15" t="s">
        <v>41</v>
      </c>
      <c r="D348" s="19"/>
      <c r="E348" s="15" t="s">
        <v>52</v>
      </c>
      <c r="F348" s="18"/>
      <c r="G348" s="155">
        <v>8</v>
      </c>
      <c r="H348" s="185"/>
      <c r="I348" s="25"/>
      <c r="J348" s="29"/>
      <c r="K348" s="15" t="s">
        <v>62</v>
      </c>
      <c r="L348" s="11"/>
      <c r="M348" s="33"/>
      <c r="N348" s="34"/>
      <c r="O348" s="15" t="s">
        <v>62</v>
      </c>
      <c r="P348" s="11"/>
      <c r="Q348" s="33"/>
      <c r="R348" s="34"/>
      <c r="S348" s="15" t="s">
        <v>62</v>
      </c>
      <c r="T348" s="11"/>
      <c r="U348" s="33"/>
      <c r="V348" s="38"/>
      <c r="W348" s="346"/>
      <c r="X348" s="342"/>
      <c r="Y348" s="342"/>
      <c r="Z348" s="342"/>
      <c r="AA348" s="342"/>
      <c r="AB348" s="344"/>
      <c r="AC348" s="346"/>
      <c r="AD348" s="342"/>
      <c r="AE348" s="342"/>
      <c r="AF348" s="342"/>
      <c r="AG348" s="342"/>
      <c r="AH348" s="344"/>
      <c r="AI348" s="356"/>
      <c r="AJ348" s="343"/>
      <c r="AK348" s="345"/>
      <c r="AL348" s="337"/>
      <c r="AM348" s="54" t="s">
        <v>99</v>
      </c>
      <c r="AN348" s="57"/>
      <c r="AO348" s="54" t="s">
        <v>13</v>
      </c>
      <c r="AP348" s="60"/>
      <c r="AQ348" s="337"/>
      <c r="AR348" s="54" t="s">
        <v>99</v>
      </c>
      <c r="AS348" s="57"/>
      <c r="AT348" s="54" t="s">
        <v>13</v>
      </c>
      <c r="AU348" s="60"/>
    </row>
    <row r="349" spans="1:47" ht="16.5" customHeight="1">
      <c r="A349" s="329"/>
      <c r="B349" s="330"/>
      <c r="C349" s="15" t="s">
        <v>42</v>
      </c>
      <c r="D349" s="19"/>
      <c r="E349" s="16" t="s">
        <v>53</v>
      </c>
      <c r="F349" s="22"/>
      <c r="G349" s="160"/>
      <c r="H349" s="186"/>
      <c r="I349" s="161"/>
      <c r="J349" s="161"/>
      <c r="K349" s="15" t="s">
        <v>63</v>
      </c>
      <c r="L349" s="11"/>
      <c r="M349" s="33"/>
      <c r="N349" s="34"/>
      <c r="O349" s="15" t="s">
        <v>63</v>
      </c>
      <c r="P349" s="11"/>
      <c r="Q349" s="33"/>
      <c r="R349" s="34"/>
      <c r="S349" s="15" t="s">
        <v>63</v>
      </c>
      <c r="T349" s="11"/>
      <c r="U349" s="33"/>
      <c r="V349" s="38"/>
      <c r="W349" s="356"/>
      <c r="X349" s="343"/>
      <c r="Y349" s="343"/>
      <c r="Z349" s="343"/>
      <c r="AA349" s="343"/>
      <c r="AB349" s="345"/>
      <c r="AC349" s="356"/>
      <c r="AD349" s="343"/>
      <c r="AE349" s="343"/>
      <c r="AF349" s="343"/>
      <c r="AG349" s="343"/>
      <c r="AH349" s="345"/>
      <c r="AI349" s="172"/>
      <c r="AJ349" s="173"/>
      <c r="AK349" s="174"/>
      <c r="AL349" s="338"/>
      <c r="AM349" s="55" t="s">
        <v>100</v>
      </c>
      <c r="AN349" s="58"/>
      <c r="AO349" s="55" t="s">
        <v>101</v>
      </c>
      <c r="AP349" s="61"/>
      <c r="AQ349" s="338"/>
      <c r="AR349" s="55" t="s">
        <v>100</v>
      </c>
      <c r="AS349" s="58"/>
      <c r="AT349" s="55" t="s">
        <v>101</v>
      </c>
      <c r="AU349" s="61"/>
    </row>
    <row r="350" spans="1:47" ht="16.5" customHeight="1">
      <c r="A350" s="329"/>
      <c r="B350" s="330"/>
      <c r="C350" s="16" t="s">
        <v>43</v>
      </c>
      <c r="D350" s="21"/>
      <c r="E350" s="189" t="s">
        <v>293</v>
      </c>
      <c r="F350" s="190" t="s">
        <v>186</v>
      </c>
      <c r="G350" s="162"/>
      <c r="H350" s="187"/>
      <c r="I350" s="163"/>
      <c r="J350" s="163"/>
      <c r="K350" s="30" t="s">
        <v>64</v>
      </c>
      <c r="L350" s="24"/>
      <c r="M350" s="35"/>
      <c r="N350" s="36"/>
      <c r="O350" s="30" t="s">
        <v>64</v>
      </c>
      <c r="P350" s="24"/>
      <c r="Q350" s="35"/>
      <c r="R350" s="36"/>
      <c r="S350" s="30" t="s">
        <v>64</v>
      </c>
      <c r="T350" s="24"/>
      <c r="U350" s="35"/>
      <c r="V350" s="39"/>
      <c r="W350" s="156"/>
      <c r="X350" s="157"/>
      <c r="Y350" s="165"/>
      <c r="Z350" s="165"/>
      <c r="AA350" s="166"/>
      <c r="AB350" s="167"/>
      <c r="AC350" s="168"/>
      <c r="AD350" s="169"/>
      <c r="AE350" s="170"/>
      <c r="AF350" s="170"/>
      <c r="AG350" s="170"/>
      <c r="AH350" s="171"/>
      <c r="AI350" s="168"/>
      <c r="AJ350" s="169"/>
      <c r="AK350" s="171"/>
      <c r="AL350" s="175"/>
      <c r="AM350" s="158"/>
      <c r="AN350" s="158"/>
      <c r="AO350" s="158"/>
      <c r="AP350" s="159"/>
      <c r="AQ350" s="175"/>
      <c r="AR350" s="158"/>
      <c r="AS350" s="158"/>
      <c r="AT350" s="158"/>
      <c r="AU350" s="159"/>
    </row>
    <row r="351" spans="1:47" ht="16.5" customHeight="1"/>
    <row r="352" spans="1:47" ht="16.5" customHeight="1">
      <c r="A352" s="329">
        <v>30</v>
      </c>
      <c r="B352" s="330" t="s">
        <v>278</v>
      </c>
      <c r="C352" s="14" t="s">
        <v>45</v>
      </c>
      <c r="D352" s="52"/>
      <c r="E352" s="14" t="s">
        <v>46</v>
      </c>
      <c r="F352" s="17"/>
      <c r="G352" s="149">
        <v>6</v>
      </c>
      <c r="H352" s="181"/>
      <c r="I352" s="10"/>
      <c r="J352" s="26"/>
      <c r="K352" s="14" t="s">
        <v>54</v>
      </c>
      <c r="L352" s="9"/>
      <c r="M352" s="31"/>
      <c r="N352" s="32"/>
      <c r="O352" s="14" t="s">
        <v>54</v>
      </c>
      <c r="P352" s="9"/>
      <c r="Q352" s="31"/>
      <c r="R352" s="32"/>
      <c r="S352" s="14" t="s">
        <v>54</v>
      </c>
      <c r="T352" s="9"/>
      <c r="U352" s="31"/>
      <c r="V352" s="37"/>
      <c r="W352" s="353"/>
      <c r="X352" s="354"/>
      <c r="Y352" s="354"/>
      <c r="Z352" s="354"/>
      <c r="AA352" s="354"/>
      <c r="AB352" s="355"/>
      <c r="AC352" s="353"/>
      <c r="AD352" s="354"/>
      <c r="AE352" s="354"/>
      <c r="AF352" s="354"/>
      <c r="AG352" s="354"/>
      <c r="AH352" s="355"/>
      <c r="AI352" s="353">
        <v>6</v>
      </c>
      <c r="AJ352" s="354"/>
      <c r="AK352" s="355"/>
      <c r="AL352" s="336">
        <v>1</v>
      </c>
      <c r="AM352" s="53" t="s">
        <v>0</v>
      </c>
      <c r="AN352" s="339"/>
      <c r="AO352" s="340"/>
      <c r="AP352" s="341"/>
      <c r="AQ352" s="336">
        <v>3</v>
      </c>
      <c r="AR352" s="53" t="s">
        <v>0</v>
      </c>
      <c r="AS352" s="339"/>
      <c r="AT352" s="340"/>
      <c r="AU352" s="341"/>
    </row>
    <row r="353" spans="1:47" ht="16.5" customHeight="1">
      <c r="A353" s="329"/>
      <c r="B353" s="330"/>
      <c r="C353" s="15" t="s">
        <v>36</v>
      </c>
      <c r="D353" s="19"/>
      <c r="E353" s="15" t="s">
        <v>73</v>
      </c>
      <c r="F353" s="18"/>
      <c r="G353" s="150">
        <v>7</v>
      </c>
      <c r="H353" s="182"/>
      <c r="I353" s="12"/>
      <c r="J353" s="27"/>
      <c r="K353" s="15" t="s">
        <v>55</v>
      </c>
      <c r="L353" s="11"/>
      <c r="M353" s="33"/>
      <c r="N353" s="34"/>
      <c r="O353" s="15" t="s">
        <v>55</v>
      </c>
      <c r="P353" s="11"/>
      <c r="Q353" s="33"/>
      <c r="R353" s="34"/>
      <c r="S353" s="15" t="s">
        <v>55</v>
      </c>
      <c r="T353" s="11"/>
      <c r="U353" s="33"/>
      <c r="V353" s="38"/>
      <c r="W353" s="346"/>
      <c r="X353" s="342"/>
      <c r="Y353" s="342"/>
      <c r="Z353" s="342"/>
      <c r="AA353" s="342"/>
      <c r="AB353" s="344"/>
      <c r="AC353" s="346"/>
      <c r="AD353" s="342"/>
      <c r="AE353" s="342"/>
      <c r="AF353" s="342"/>
      <c r="AG353" s="342"/>
      <c r="AH353" s="344"/>
      <c r="AI353" s="346"/>
      <c r="AJ353" s="342"/>
      <c r="AK353" s="344"/>
      <c r="AL353" s="337"/>
      <c r="AM353" s="54" t="s">
        <v>97</v>
      </c>
      <c r="AN353" s="176"/>
      <c r="AO353" s="54" t="s">
        <v>212</v>
      </c>
      <c r="AP353" s="178"/>
      <c r="AQ353" s="337"/>
      <c r="AR353" s="54" t="s">
        <v>97</v>
      </c>
      <c r="AS353" s="176"/>
      <c r="AT353" s="179" t="s">
        <v>212</v>
      </c>
      <c r="AU353" s="177"/>
    </row>
    <row r="354" spans="1:47" ht="16.5" customHeight="1">
      <c r="A354" s="329"/>
      <c r="B354" s="330"/>
      <c r="C354" s="15" t="s">
        <v>37</v>
      </c>
      <c r="D354" s="20"/>
      <c r="E354" s="15" t="s">
        <v>47</v>
      </c>
      <c r="F354" s="18"/>
      <c r="G354" s="150">
        <v>8</v>
      </c>
      <c r="H354" s="183"/>
      <c r="I354" s="13"/>
      <c r="J354" s="28"/>
      <c r="K354" s="15" t="s">
        <v>56</v>
      </c>
      <c r="L354" s="11"/>
      <c r="M354" s="33"/>
      <c r="N354" s="34"/>
      <c r="O354" s="15" t="s">
        <v>56</v>
      </c>
      <c r="P354" s="11"/>
      <c r="Q354" s="33"/>
      <c r="R354" s="34"/>
      <c r="S354" s="15" t="s">
        <v>56</v>
      </c>
      <c r="T354" s="11"/>
      <c r="U354" s="33"/>
      <c r="V354" s="38"/>
      <c r="W354" s="346"/>
      <c r="X354" s="342"/>
      <c r="Y354" s="342"/>
      <c r="Z354" s="342"/>
      <c r="AA354" s="342"/>
      <c r="AB354" s="344"/>
      <c r="AC354" s="346"/>
      <c r="AD354" s="342"/>
      <c r="AE354" s="342"/>
      <c r="AF354" s="342"/>
      <c r="AG354" s="342"/>
      <c r="AH354" s="344"/>
      <c r="AI354" s="346"/>
      <c r="AJ354" s="342"/>
      <c r="AK354" s="344"/>
      <c r="AL354" s="337"/>
      <c r="AM354" s="54" t="s">
        <v>98</v>
      </c>
      <c r="AN354" s="56"/>
      <c r="AO354" s="54" t="s">
        <v>13</v>
      </c>
      <c r="AP354" s="59"/>
      <c r="AQ354" s="337"/>
      <c r="AR354" s="54" t="s">
        <v>98</v>
      </c>
      <c r="AS354" s="56"/>
      <c r="AT354" s="54" t="s">
        <v>13</v>
      </c>
      <c r="AU354" s="59"/>
    </row>
    <row r="355" spans="1:47" ht="16.5" customHeight="1">
      <c r="A355" s="329"/>
      <c r="B355" s="330"/>
      <c r="C355" s="15" t="s">
        <v>44</v>
      </c>
      <c r="D355" s="19"/>
      <c r="E355" s="15" t="s">
        <v>65</v>
      </c>
      <c r="F355" s="18"/>
      <c r="G355" s="153"/>
      <c r="H355" s="184"/>
      <c r="I355" s="23"/>
      <c r="J355" s="23"/>
      <c r="K355" s="15" t="s">
        <v>57</v>
      </c>
      <c r="L355" s="11"/>
      <c r="M355" s="33"/>
      <c r="N355" s="34"/>
      <c r="O355" s="15" t="s">
        <v>57</v>
      </c>
      <c r="P355" s="11"/>
      <c r="Q355" s="33"/>
      <c r="R355" s="34"/>
      <c r="S355" s="15" t="s">
        <v>57</v>
      </c>
      <c r="T355" s="11"/>
      <c r="U355" s="33"/>
      <c r="V355" s="38"/>
      <c r="W355" s="346"/>
      <c r="X355" s="342"/>
      <c r="Y355" s="342"/>
      <c r="Z355" s="342"/>
      <c r="AA355" s="342"/>
      <c r="AB355" s="344"/>
      <c r="AC355" s="346"/>
      <c r="AD355" s="342"/>
      <c r="AE355" s="342"/>
      <c r="AF355" s="342"/>
      <c r="AG355" s="342"/>
      <c r="AH355" s="344"/>
      <c r="AI355" s="346">
        <v>7</v>
      </c>
      <c r="AJ355" s="342"/>
      <c r="AK355" s="344"/>
      <c r="AL355" s="337"/>
      <c r="AM355" s="54" t="s">
        <v>99</v>
      </c>
      <c r="AN355" s="57"/>
      <c r="AO355" s="54" t="s">
        <v>13</v>
      </c>
      <c r="AP355" s="60"/>
      <c r="AQ355" s="337"/>
      <c r="AR355" s="54" t="s">
        <v>99</v>
      </c>
      <c r="AS355" s="57"/>
      <c r="AT355" s="54" t="s">
        <v>13</v>
      </c>
      <c r="AU355" s="60"/>
    </row>
    <row r="356" spans="1:47" ht="16.5" customHeight="1">
      <c r="A356" s="329"/>
      <c r="B356" s="330"/>
      <c r="C356" s="15" t="s">
        <v>229</v>
      </c>
      <c r="D356" s="4"/>
      <c r="E356" s="15" t="s">
        <v>48</v>
      </c>
      <c r="F356" s="18"/>
      <c r="G356" s="331" t="s">
        <v>12</v>
      </c>
      <c r="H356" s="332"/>
      <c r="I356" s="332"/>
      <c r="J356" s="332"/>
      <c r="K356" s="15" t="s">
        <v>58</v>
      </c>
      <c r="L356" s="11"/>
      <c r="M356" s="33"/>
      <c r="N356" s="34"/>
      <c r="O356" s="15" t="s">
        <v>58</v>
      </c>
      <c r="P356" s="11"/>
      <c r="Q356" s="33"/>
      <c r="R356" s="34"/>
      <c r="S356" s="15" t="s">
        <v>58</v>
      </c>
      <c r="T356" s="11"/>
      <c r="U356" s="33"/>
      <c r="V356" s="38"/>
      <c r="W356" s="346"/>
      <c r="X356" s="342"/>
      <c r="Y356" s="342"/>
      <c r="Z356" s="342"/>
      <c r="AA356" s="342"/>
      <c r="AB356" s="344"/>
      <c r="AC356" s="346"/>
      <c r="AD356" s="342"/>
      <c r="AE356" s="342"/>
      <c r="AF356" s="342"/>
      <c r="AG356" s="342"/>
      <c r="AH356" s="344"/>
      <c r="AI356" s="346"/>
      <c r="AJ356" s="342"/>
      <c r="AK356" s="344"/>
      <c r="AL356" s="338"/>
      <c r="AM356" s="55" t="s">
        <v>100</v>
      </c>
      <c r="AN356" s="58"/>
      <c r="AO356" s="55" t="s">
        <v>101</v>
      </c>
      <c r="AP356" s="61"/>
      <c r="AQ356" s="338"/>
      <c r="AR356" s="55" t="s">
        <v>100</v>
      </c>
      <c r="AS356" s="58"/>
      <c r="AT356" s="55" t="s">
        <v>101</v>
      </c>
      <c r="AU356" s="61"/>
    </row>
    <row r="357" spans="1:47" ht="16.5" customHeight="1">
      <c r="A357" s="329"/>
      <c r="B357" s="330"/>
      <c r="C357" s="15" t="s">
        <v>38</v>
      </c>
      <c r="D357" s="19"/>
      <c r="E357" s="15" t="s">
        <v>49</v>
      </c>
      <c r="F357" s="18"/>
      <c r="G357" s="8" t="s">
        <v>13</v>
      </c>
      <c r="H357" s="180" t="s">
        <v>14</v>
      </c>
      <c r="I357" s="6" t="s">
        <v>15</v>
      </c>
      <c r="J357" s="6" t="s">
        <v>16</v>
      </c>
      <c r="K357" s="15" t="s">
        <v>59</v>
      </c>
      <c r="L357" s="11"/>
      <c r="M357" s="33"/>
      <c r="N357" s="34"/>
      <c r="O357" s="15" t="s">
        <v>59</v>
      </c>
      <c r="P357" s="11"/>
      <c r="Q357" s="33"/>
      <c r="R357" s="34"/>
      <c r="S357" s="15" t="s">
        <v>59</v>
      </c>
      <c r="T357" s="11"/>
      <c r="U357" s="33"/>
      <c r="V357" s="38"/>
      <c r="W357" s="346"/>
      <c r="X357" s="342"/>
      <c r="Y357" s="342"/>
      <c r="Z357" s="342"/>
      <c r="AA357" s="342"/>
      <c r="AB357" s="344"/>
      <c r="AC357" s="346"/>
      <c r="AD357" s="342"/>
      <c r="AE357" s="342"/>
      <c r="AF357" s="342"/>
      <c r="AG357" s="342"/>
      <c r="AH357" s="344"/>
      <c r="AI357" s="346"/>
      <c r="AJ357" s="342"/>
      <c r="AK357" s="344"/>
      <c r="AL357" s="336">
        <v>2</v>
      </c>
      <c r="AM357" s="53" t="s">
        <v>0</v>
      </c>
      <c r="AN357" s="339"/>
      <c r="AO357" s="340"/>
      <c r="AP357" s="341"/>
      <c r="AQ357" s="336">
        <v>4</v>
      </c>
      <c r="AR357" s="53" t="s">
        <v>0</v>
      </c>
      <c r="AS357" s="339"/>
      <c r="AT357" s="340"/>
      <c r="AU357" s="341"/>
    </row>
    <row r="358" spans="1:47" ht="16.5" customHeight="1">
      <c r="A358" s="329"/>
      <c r="B358" s="330"/>
      <c r="C358" s="15" t="s">
        <v>39</v>
      </c>
      <c r="D358" s="19"/>
      <c r="E358" s="15" t="s">
        <v>50</v>
      </c>
      <c r="F358" s="18"/>
      <c r="G358" s="154">
        <v>6</v>
      </c>
      <c r="H358" s="181"/>
      <c r="I358" s="10"/>
      <c r="J358" s="26"/>
      <c r="K358" s="15" t="s">
        <v>60</v>
      </c>
      <c r="L358" s="11"/>
      <c r="M358" s="33"/>
      <c r="N358" s="34"/>
      <c r="O358" s="15" t="s">
        <v>60</v>
      </c>
      <c r="P358" s="11"/>
      <c r="Q358" s="33"/>
      <c r="R358" s="34"/>
      <c r="S358" s="15" t="s">
        <v>60</v>
      </c>
      <c r="T358" s="11"/>
      <c r="U358" s="33"/>
      <c r="V358" s="38"/>
      <c r="W358" s="346"/>
      <c r="X358" s="342"/>
      <c r="Y358" s="342"/>
      <c r="Z358" s="342"/>
      <c r="AA358" s="342"/>
      <c r="AB358" s="344"/>
      <c r="AC358" s="346"/>
      <c r="AD358" s="342"/>
      <c r="AE358" s="342"/>
      <c r="AF358" s="342"/>
      <c r="AG358" s="342"/>
      <c r="AH358" s="344"/>
      <c r="AI358" s="346">
        <v>8</v>
      </c>
      <c r="AJ358" s="342"/>
      <c r="AK358" s="344"/>
      <c r="AL358" s="337"/>
      <c r="AM358" s="54" t="s">
        <v>97</v>
      </c>
      <c r="AN358" s="176"/>
      <c r="AO358" s="179" t="s">
        <v>212</v>
      </c>
      <c r="AP358" s="177"/>
      <c r="AQ358" s="337"/>
      <c r="AR358" s="54" t="s">
        <v>97</v>
      </c>
      <c r="AS358" s="176"/>
      <c r="AT358" s="179" t="s">
        <v>212</v>
      </c>
      <c r="AU358" s="177"/>
    </row>
    <row r="359" spans="1:47" ht="16.5" customHeight="1">
      <c r="A359" s="329"/>
      <c r="B359" s="330"/>
      <c r="C359" s="15" t="s">
        <v>40</v>
      </c>
      <c r="D359" s="19"/>
      <c r="E359" s="15" t="s">
        <v>51</v>
      </c>
      <c r="F359" s="18"/>
      <c r="G359" s="155">
        <v>7</v>
      </c>
      <c r="H359" s="182"/>
      <c r="I359" s="12"/>
      <c r="J359" s="27"/>
      <c r="K359" s="15" t="s">
        <v>61</v>
      </c>
      <c r="L359" s="11"/>
      <c r="M359" s="33"/>
      <c r="N359" s="34"/>
      <c r="O359" s="15" t="s">
        <v>61</v>
      </c>
      <c r="P359" s="11"/>
      <c r="Q359" s="33"/>
      <c r="R359" s="34"/>
      <c r="S359" s="15" t="s">
        <v>61</v>
      </c>
      <c r="T359" s="11"/>
      <c r="U359" s="33"/>
      <c r="V359" s="38"/>
      <c r="W359" s="346"/>
      <c r="X359" s="342"/>
      <c r="Y359" s="342"/>
      <c r="Z359" s="342"/>
      <c r="AA359" s="342"/>
      <c r="AB359" s="344"/>
      <c r="AC359" s="346"/>
      <c r="AD359" s="342"/>
      <c r="AE359" s="342"/>
      <c r="AF359" s="342"/>
      <c r="AG359" s="342"/>
      <c r="AH359" s="344"/>
      <c r="AI359" s="346"/>
      <c r="AJ359" s="342"/>
      <c r="AK359" s="344"/>
      <c r="AL359" s="337"/>
      <c r="AM359" s="54" t="s">
        <v>98</v>
      </c>
      <c r="AN359" s="56"/>
      <c r="AO359" s="54" t="s">
        <v>13</v>
      </c>
      <c r="AP359" s="59"/>
      <c r="AQ359" s="337"/>
      <c r="AR359" s="54" t="s">
        <v>98</v>
      </c>
      <c r="AS359" s="56"/>
      <c r="AT359" s="54" t="s">
        <v>13</v>
      </c>
      <c r="AU359" s="59"/>
    </row>
    <row r="360" spans="1:47" ht="16.5" customHeight="1">
      <c r="A360" s="329"/>
      <c r="B360" s="330"/>
      <c r="C360" s="15" t="s">
        <v>41</v>
      </c>
      <c r="D360" s="19"/>
      <c r="E360" s="15" t="s">
        <v>52</v>
      </c>
      <c r="F360" s="18"/>
      <c r="G360" s="155">
        <v>8</v>
      </c>
      <c r="H360" s="185"/>
      <c r="I360" s="25"/>
      <c r="J360" s="29"/>
      <c r="K360" s="15" t="s">
        <v>62</v>
      </c>
      <c r="L360" s="11"/>
      <c r="M360" s="33"/>
      <c r="N360" s="34"/>
      <c r="O360" s="15" t="s">
        <v>62</v>
      </c>
      <c r="P360" s="11"/>
      <c r="Q360" s="33"/>
      <c r="R360" s="34"/>
      <c r="S360" s="15" t="s">
        <v>62</v>
      </c>
      <c r="T360" s="11"/>
      <c r="U360" s="33"/>
      <c r="V360" s="38"/>
      <c r="W360" s="346"/>
      <c r="X360" s="342"/>
      <c r="Y360" s="342"/>
      <c r="Z360" s="342"/>
      <c r="AA360" s="342"/>
      <c r="AB360" s="344"/>
      <c r="AC360" s="346"/>
      <c r="AD360" s="342"/>
      <c r="AE360" s="342"/>
      <c r="AF360" s="342"/>
      <c r="AG360" s="342"/>
      <c r="AH360" s="344"/>
      <c r="AI360" s="356"/>
      <c r="AJ360" s="343"/>
      <c r="AK360" s="345"/>
      <c r="AL360" s="337"/>
      <c r="AM360" s="54" t="s">
        <v>99</v>
      </c>
      <c r="AN360" s="57"/>
      <c r="AO360" s="54" t="s">
        <v>13</v>
      </c>
      <c r="AP360" s="60"/>
      <c r="AQ360" s="337"/>
      <c r="AR360" s="54" t="s">
        <v>99</v>
      </c>
      <c r="AS360" s="57"/>
      <c r="AT360" s="54" t="s">
        <v>13</v>
      </c>
      <c r="AU360" s="60"/>
    </row>
    <row r="361" spans="1:47" ht="16.5" customHeight="1">
      <c r="A361" s="329"/>
      <c r="B361" s="330"/>
      <c r="C361" s="15" t="s">
        <v>42</v>
      </c>
      <c r="D361" s="19"/>
      <c r="E361" s="16" t="s">
        <v>53</v>
      </c>
      <c r="F361" s="22"/>
      <c r="G361" s="160"/>
      <c r="H361" s="186"/>
      <c r="I361" s="161"/>
      <c r="J361" s="161"/>
      <c r="K361" s="15" t="s">
        <v>63</v>
      </c>
      <c r="L361" s="11"/>
      <c r="M361" s="33"/>
      <c r="N361" s="34"/>
      <c r="O361" s="15" t="s">
        <v>63</v>
      </c>
      <c r="P361" s="11"/>
      <c r="Q361" s="33"/>
      <c r="R361" s="34"/>
      <c r="S361" s="15" t="s">
        <v>63</v>
      </c>
      <c r="T361" s="11"/>
      <c r="U361" s="33"/>
      <c r="V361" s="38"/>
      <c r="W361" s="356"/>
      <c r="X361" s="343"/>
      <c r="Y361" s="343"/>
      <c r="Z361" s="343"/>
      <c r="AA361" s="343"/>
      <c r="AB361" s="345"/>
      <c r="AC361" s="356"/>
      <c r="AD361" s="343"/>
      <c r="AE361" s="343"/>
      <c r="AF361" s="343"/>
      <c r="AG361" s="343"/>
      <c r="AH361" s="345"/>
      <c r="AI361" s="172"/>
      <c r="AJ361" s="173"/>
      <c r="AK361" s="174"/>
      <c r="AL361" s="338"/>
      <c r="AM361" s="55" t="s">
        <v>100</v>
      </c>
      <c r="AN361" s="58"/>
      <c r="AO361" s="55" t="s">
        <v>101</v>
      </c>
      <c r="AP361" s="61"/>
      <c r="AQ361" s="338"/>
      <c r="AR361" s="55" t="s">
        <v>100</v>
      </c>
      <c r="AS361" s="58"/>
      <c r="AT361" s="55" t="s">
        <v>101</v>
      </c>
      <c r="AU361" s="61"/>
    </row>
    <row r="362" spans="1:47" ht="16.5" customHeight="1">
      <c r="A362" s="329"/>
      <c r="B362" s="330"/>
      <c r="C362" s="16" t="s">
        <v>43</v>
      </c>
      <c r="D362" s="21"/>
      <c r="E362" s="189" t="s">
        <v>293</v>
      </c>
      <c r="F362" s="190" t="s">
        <v>185</v>
      </c>
      <c r="G362" s="162"/>
      <c r="H362" s="187"/>
      <c r="I362" s="163"/>
      <c r="J362" s="163"/>
      <c r="K362" s="30" t="s">
        <v>64</v>
      </c>
      <c r="L362" s="24"/>
      <c r="M362" s="35"/>
      <c r="N362" s="36"/>
      <c r="O362" s="30" t="s">
        <v>64</v>
      </c>
      <c r="P362" s="24"/>
      <c r="Q362" s="35"/>
      <c r="R362" s="36"/>
      <c r="S362" s="30" t="s">
        <v>64</v>
      </c>
      <c r="T362" s="24"/>
      <c r="U362" s="35"/>
      <c r="V362" s="39"/>
      <c r="W362" s="156"/>
      <c r="X362" s="157"/>
      <c r="Y362" s="165"/>
      <c r="Z362" s="165"/>
      <c r="AA362" s="166"/>
      <c r="AB362" s="167"/>
      <c r="AC362" s="168"/>
      <c r="AD362" s="169"/>
      <c r="AE362" s="170"/>
      <c r="AF362" s="170"/>
      <c r="AG362" s="170"/>
      <c r="AH362" s="171"/>
      <c r="AI362" s="168"/>
      <c r="AJ362" s="169"/>
      <c r="AK362" s="171"/>
      <c r="AL362" s="175"/>
      <c r="AM362" s="158"/>
      <c r="AN362" s="158"/>
      <c r="AO362" s="158"/>
      <c r="AP362" s="159"/>
      <c r="AQ362" s="175"/>
      <c r="AR362" s="158"/>
      <c r="AS362" s="158"/>
      <c r="AT362" s="158"/>
      <c r="AU362" s="159"/>
    </row>
    <row r="363" spans="1:47" ht="16.5" customHeight="1"/>
    <row r="364" spans="1:47" ht="16.5" customHeight="1">
      <c r="A364" s="329">
        <v>31</v>
      </c>
      <c r="B364" s="330"/>
      <c r="C364" s="14" t="s">
        <v>45</v>
      </c>
      <c r="D364" s="52"/>
      <c r="E364" s="14" t="s">
        <v>46</v>
      </c>
      <c r="F364" s="17"/>
      <c r="G364" s="149">
        <v>6</v>
      </c>
      <c r="H364" s="181"/>
      <c r="I364" s="10"/>
      <c r="J364" s="26"/>
      <c r="K364" s="14" t="s">
        <v>54</v>
      </c>
      <c r="L364" s="9"/>
      <c r="M364" s="31"/>
      <c r="N364" s="32"/>
      <c r="O364" s="14" t="s">
        <v>54</v>
      </c>
      <c r="P364" s="9"/>
      <c r="Q364" s="31"/>
      <c r="R364" s="32"/>
      <c r="S364" s="14" t="s">
        <v>54</v>
      </c>
      <c r="T364" s="9"/>
      <c r="U364" s="31"/>
      <c r="V364" s="37"/>
      <c r="W364" s="353"/>
      <c r="X364" s="354"/>
      <c r="Y364" s="354"/>
      <c r="Z364" s="354"/>
      <c r="AA364" s="354"/>
      <c r="AB364" s="355"/>
      <c r="AC364" s="353"/>
      <c r="AD364" s="354"/>
      <c r="AE364" s="354"/>
      <c r="AF364" s="354"/>
      <c r="AG364" s="354"/>
      <c r="AH364" s="355"/>
      <c r="AI364" s="353">
        <v>6</v>
      </c>
      <c r="AJ364" s="354"/>
      <c r="AK364" s="355"/>
      <c r="AL364" s="336">
        <v>1</v>
      </c>
      <c r="AM364" s="53" t="s">
        <v>0</v>
      </c>
      <c r="AN364" s="339"/>
      <c r="AO364" s="340"/>
      <c r="AP364" s="341"/>
      <c r="AQ364" s="336">
        <v>3</v>
      </c>
      <c r="AR364" s="53" t="s">
        <v>0</v>
      </c>
      <c r="AS364" s="339"/>
      <c r="AT364" s="340"/>
      <c r="AU364" s="341"/>
    </row>
    <row r="365" spans="1:47" ht="16.5" customHeight="1">
      <c r="A365" s="329"/>
      <c r="B365" s="330"/>
      <c r="C365" s="15" t="s">
        <v>36</v>
      </c>
      <c r="D365" s="19"/>
      <c r="E365" s="15" t="s">
        <v>73</v>
      </c>
      <c r="F365" s="18"/>
      <c r="G365" s="150">
        <v>7</v>
      </c>
      <c r="H365" s="182"/>
      <c r="I365" s="12"/>
      <c r="J365" s="27"/>
      <c r="K365" s="15" t="s">
        <v>55</v>
      </c>
      <c r="L365" s="11"/>
      <c r="M365" s="33"/>
      <c r="N365" s="34"/>
      <c r="O365" s="15" t="s">
        <v>55</v>
      </c>
      <c r="P365" s="11"/>
      <c r="Q365" s="33"/>
      <c r="R365" s="34"/>
      <c r="S365" s="15" t="s">
        <v>55</v>
      </c>
      <c r="T365" s="11"/>
      <c r="U365" s="33"/>
      <c r="V365" s="38"/>
      <c r="W365" s="346"/>
      <c r="X365" s="342"/>
      <c r="Y365" s="342"/>
      <c r="Z365" s="342"/>
      <c r="AA365" s="342"/>
      <c r="AB365" s="344"/>
      <c r="AC365" s="346"/>
      <c r="AD365" s="342"/>
      <c r="AE365" s="342"/>
      <c r="AF365" s="342"/>
      <c r="AG365" s="342"/>
      <c r="AH365" s="344"/>
      <c r="AI365" s="346"/>
      <c r="AJ365" s="342"/>
      <c r="AK365" s="344"/>
      <c r="AL365" s="337"/>
      <c r="AM365" s="54" t="s">
        <v>97</v>
      </c>
      <c r="AN365" s="176"/>
      <c r="AO365" s="54" t="s">
        <v>212</v>
      </c>
      <c r="AP365" s="178"/>
      <c r="AQ365" s="337"/>
      <c r="AR365" s="54" t="s">
        <v>97</v>
      </c>
      <c r="AS365" s="176"/>
      <c r="AT365" s="179" t="s">
        <v>212</v>
      </c>
      <c r="AU365" s="177"/>
    </row>
    <row r="366" spans="1:47" ht="16.5" customHeight="1">
      <c r="A366" s="329"/>
      <c r="B366" s="330"/>
      <c r="C366" s="15" t="s">
        <v>37</v>
      </c>
      <c r="D366" s="20"/>
      <c r="E366" s="15" t="s">
        <v>47</v>
      </c>
      <c r="F366" s="18"/>
      <c r="G366" s="150">
        <v>8</v>
      </c>
      <c r="H366" s="183"/>
      <c r="I366" s="13"/>
      <c r="J366" s="28"/>
      <c r="K366" s="15" t="s">
        <v>56</v>
      </c>
      <c r="L366" s="11"/>
      <c r="M366" s="33"/>
      <c r="N366" s="34"/>
      <c r="O366" s="15" t="s">
        <v>56</v>
      </c>
      <c r="P366" s="11"/>
      <c r="Q366" s="33"/>
      <c r="R366" s="34"/>
      <c r="S366" s="15" t="s">
        <v>56</v>
      </c>
      <c r="T366" s="11"/>
      <c r="U366" s="33"/>
      <c r="V366" s="38"/>
      <c r="W366" s="346"/>
      <c r="X366" s="342"/>
      <c r="Y366" s="342"/>
      <c r="Z366" s="342"/>
      <c r="AA366" s="342"/>
      <c r="AB366" s="344"/>
      <c r="AC366" s="346"/>
      <c r="AD366" s="342"/>
      <c r="AE366" s="342"/>
      <c r="AF366" s="342"/>
      <c r="AG366" s="342"/>
      <c r="AH366" s="344"/>
      <c r="AI366" s="346"/>
      <c r="AJ366" s="342"/>
      <c r="AK366" s="344"/>
      <c r="AL366" s="337"/>
      <c r="AM366" s="54" t="s">
        <v>98</v>
      </c>
      <c r="AN366" s="56"/>
      <c r="AO366" s="54" t="s">
        <v>13</v>
      </c>
      <c r="AP366" s="59"/>
      <c r="AQ366" s="337"/>
      <c r="AR366" s="54" t="s">
        <v>98</v>
      </c>
      <c r="AS366" s="56"/>
      <c r="AT366" s="54" t="s">
        <v>13</v>
      </c>
      <c r="AU366" s="59"/>
    </row>
    <row r="367" spans="1:47" ht="16.5" customHeight="1">
      <c r="A367" s="329"/>
      <c r="B367" s="330"/>
      <c r="C367" s="15" t="s">
        <v>44</v>
      </c>
      <c r="D367" s="19"/>
      <c r="E367" s="15" t="s">
        <v>65</v>
      </c>
      <c r="F367" s="18"/>
      <c r="G367" s="153"/>
      <c r="H367" s="184"/>
      <c r="I367" s="23"/>
      <c r="J367" s="23"/>
      <c r="K367" s="15" t="s">
        <v>57</v>
      </c>
      <c r="L367" s="11"/>
      <c r="M367" s="33"/>
      <c r="N367" s="34"/>
      <c r="O367" s="15" t="s">
        <v>57</v>
      </c>
      <c r="P367" s="11"/>
      <c r="Q367" s="33"/>
      <c r="R367" s="34"/>
      <c r="S367" s="15" t="s">
        <v>57</v>
      </c>
      <c r="T367" s="11"/>
      <c r="U367" s="33"/>
      <c r="V367" s="38"/>
      <c r="W367" s="346"/>
      <c r="X367" s="342"/>
      <c r="Y367" s="342"/>
      <c r="Z367" s="342"/>
      <c r="AA367" s="342"/>
      <c r="AB367" s="344"/>
      <c r="AC367" s="346"/>
      <c r="AD367" s="342"/>
      <c r="AE367" s="342"/>
      <c r="AF367" s="342"/>
      <c r="AG367" s="342"/>
      <c r="AH367" s="344"/>
      <c r="AI367" s="346">
        <v>7</v>
      </c>
      <c r="AJ367" s="342"/>
      <c r="AK367" s="344"/>
      <c r="AL367" s="337"/>
      <c r="AM367" s="54" t="s">
        <v>99</v>
      </c>
      <c r="AN367" s="57"/>
      <c r="AO367" s="54" t="s">
        <v>13</v>
      </c>
      <c r="AP367" s="60"/>
      <c r="AQ367" s="337"/>
      <c r="AR367" s="54" t="s">
        <v>99</v>
      </c>
      <c r="AS367" s="57"/>
      <c r="AT367" s="54" t="s">
        <v>13</v>
      </c>
      <c r="AU367" s="60"/>
    </row>
    <row r="368" spans="1:47" ht="16.5" customHeight="1">
      <c r="A368" s="329"/>
      <c r="B368" s="330"/>
      <c r="C368" s="15" t="s">
        <v>229</v>
      </c>
      <c r="D368" s="4"/>
      <c r="E368" s="15" t="s">
        <v>48</v>
      </c>
      <c r="F368" s="18"/>
      <c r="G368" s="331" t="s">
        <v>12</v>
      </c>
      <c r="H368" s="332"/>
      <c r="I368" s="332"/>
      <c r="J368" s="332"/>
      <c r="K368" s="15" t="s">
        <v>58</v>
      </c>
      <c r="L368" s="11"/>
      <c r="M368" s="33"/>
      <c r="N368" s="34"/>
      <c r="O368" s="15" t="s">
        <v>58</v>
      </c>
      <c r="P368" s="11"/>
      <c r="Q368" s="33"/>
      <c r="R368" s="34"/>
      <c r="S368" s="15" t="s">
        <v>58</v>
      </c>
      <c r="T368" s="11"/>
      <c r="U368" s="33"/>
      <c r="V368" s="38"/>
      <c r="W368" s="346"/>
      <c r="X368" s="342"/>
      <c r="Y368" s="342"/>
      <c r="Z368" s="342"/>
      <c r="AA368" s="342"/>
      <c r="AB368" s="344"/>
      <c r="AC368" s="346"/>
      <c r="AD368" s="342"/>
      <c r="AE368" s="342"/>
      <c r="AF368" s="342"/>
      <c r="AG368" s="342"/>
      <c r="AH368" s="344"/>
      <c r="AI368" s="346"/>
      <c r="AJ368" s="342"/>
      <c r="AK368" s="344"/>
      <c r="AL368" s="338"/>
      <c r="AM368" s="55" t="s">
        <v>100</v>
      </c>
      <c r="AN368" s="58"/>
      <c r="AO368" s="55" t="s">
        <v>101</v>
      </c>
      <c r="AP368" s="61"/>
      <c r="AQ368" s="338"/>
      <c r="AR368" s="55" t="s">
        <v>100</v>
      </c>
      <c r="AS368" s="58"/>
      <c r="AT368" s="55" t="s">
        <v>101</v>
      </c>
      <c r="AU368" s="61"/>
    </row>
    <row r="369" spans="1:47" ht="16.5" customHeight="1">
      <c r="A369" s="329"/>
      <c r="B369" s="330"/>
      <c r="C369" s="15" t="s">
        <v>38</v>
      </c>
      <c r="D369" s="19"/>
      <c r="E369" s="15" t="s">
        <v>49</v>
      </c>
      <c r="F369" s="18"/>
      <c r="G369" s="8" t="s">
        <v>13</v>
      </c>
      <c r="H369" s="180" t="s">
        <v>14</v>
      </c>
      <c r="I369" s="6" t="s">
        <v>15</v>
      </c>
      <c r="J369" s="6" t="s">
        <v>16</v>
      </c>
      <c r="K369" s="15" t="s">
        <v>59</v>
      </c>
      <c r="L369" s="11"/>
      <c r="M369" s="33"/>
      <c r="N369" s="34"/>
      <c r="O369" s="15" t="s">
        <v>59</v>
      </c>
      <c r="P369" s="11"/>
      <c r="Q369" s="33"/>
      <c r="R369" s="34"/>
      <c r="S369" s="15" t="s">
        <v>59</v>
      </c>
      <c r="T369" s="11"/>
      <c r="U369" s="33"/>
      <c r="V369" s="38"/>
      <c r="W369" s="346"/>
      <c r="X369" s="342"/>
      <c r="Y369" s="342"/>
      <c r="Z369" s="342"/>
      <c r="AA369" s="342"/>
      <c r="AB369" s="344"/>
      <c r="AC369" s="346"/>
      <c r="AD369" s="342"/>
      <c r="AE369" s="342"/>
      <c r="AF369" s="342"/>
      <c r="AG369" s="342"/>
      <c r="AH369" s="344"/>
      <c r="AI369" s="346"/>
      <c r="AJ369" s="342"/>
      <c r="AK369" s="344"/>
      <c r="AL369" s="336">
        <v>2</v>
      </c>
      <c r="AM369" s="53" t="s">
        <v>0</v>
      </c>
      <c r="AN369" s="339"/>
      <c r="AO369" s="340"/>
      <c r="AP369" s="341"/>
      <c r="AQ369" s="336">
        <v>4</v>
      </c>
      <c r="AR369" s="53" t="s">
        <v>0</v>
      </c>
      <c r="AS369" s="339"/>
      <c r="AT369" s="340"/>
      <c r="AU369" s="341"/>
    </row>
    <row r="370" spans="1:47" ht="16.5" customHeight="1">
      <c r="A370" s="329"/>
      <c r="B370" s="330"/>
      <c r="C370" s="15" t="s">
        <v>39</v>
      </c>
      <c r="D370" s="19"/>
      <c r="E370" s="15" t="s">
        <v>50</v>
      </c>
      <c r="F370" s="18"/>
      <c r="G370" s="154">
        <v>6</v>
      </c>
      <c r="H370" s="181"/>
      <c r="I370" s="10"/>
      <c r="J370" s="26"/>
      <c r="K370" s="15" t="s">
        <v>60</v>
      </c>
      <c r="L370" s="11"/>
      <c r="M370" s="33"/>
      <c r="N370" s="34"/>
      <c r="O370" s="15" t="s">
        <v>60</v>
      </c>
      <c r="P370" s="11"/>
      <c r="Q370" s="33"/>
      <c r="R370" s="34"/>
      <c r="S370" s="15" t="s">
        <v>60</v>
      </c>
      <c r="T370" s="11"/>
      <c r="U370" s="33"/>
      <c r="V370" s="38"/>
      <c r="W370" s="346"/>
      <c r="X370" s="342"/>
      <c r="Y370" s="342"/>
      <c r="Z370" s="342"/>
      <c r="AA370" s="342"/>
      <c r="AB370" s="344"/>
      <c r="AC370" s="346"/>
      <c r="AD370" s="342"/>
      <c r="AE370" s="342"/>
      <c r="AF370" s="342"/>
      <c r="AG370" s="342"/>
      <c r="AH370" s="344"/>
      <c r="AI370" s="346">
        <v>8</v>
      </c>
      <c r="AJ370" s="342"/>
      <c r="AK370" s="344"/>
      <c r="AL370" s="337"/>
      <c r="AM370" s="54" t="s">
        <v>97</v>
      </c>
      <c r="AN370" s="176"/>
      <c r="AO370" s="179" t="s">
        <v>212</v>
      </c>
      <c r="AP370" s="177"/>
      <c r="AQ370" s="337"/>
      <c r="AR370" s="54" t="s">
        <v>97</v>
      </c>
      <c r="AS370" s="176"/>
      <c r="AT370" s="179" t="s">
        <v>212</v>
      </c>
      <c r="AU370" s="177"/>
    </row>
    <row r="371" spans="1:47" ht="16.5" customHeight="1">
      <c r="A371" s="329"/>
      <c r="B371" s="330"/>
      <c r="C371" s="15" t="s">
        <v>40</v>
      </c>
      <c r="D371" s="19"/>
      <c r="E371" s="15" t="s">
        <v>51</v>
      </c>
      <c r="F371" s="18"/>
      <c r="G371" s="155">
        <v>7</v>
      </c>
      <c r="H371" s="182"/>
      <c r="I371" s="12"/>
      <c r="J371" s="27"/>
      <c r="K371" s="15" t="s">
        <v>61</v>
      </c>
      <c r="L371" s="11"/>
      <c r="M371" s="33"/>
      <c r="N371" s="34"/>
      <c r="O371" s="15" t="s">
        <v>61</v>
      </c>
      <c r="P371" s="11"/>
      <c r="Q371" s="33"/>
      <c r="R371" s="34"/>
      <c r="S371" s="15" t="s">
        <v>61</v>
      </c>
      <c r="T371" s="11"/>
      <c r="U371" s="33"/>
      <c r="V371" s="38"/>
      <c r="W371" s="346"/>
      <c r="X371" s="342"/>
      <c r="Y371" s="342"/>
      <c r="Z371" s="342"/>
      <c r="AA371" s="342"/>
      <c r="AB371" s="344"/>
      <c r="AC371" s="346"/>
      <c r="AD371" s="342"/>
      <c r="AE371" s="342"/>
      <c r="AF371" s="342"/>
      <c r="AG371" s="342"/>
      <c r="AH371" s="344"/>
      <c r="AI371" s="346"/>
      <c r="AJ371" s="342"/>
      <c r="AK371" s="344"/>
      <c r="AL371" s="337"/>
      <c r="AM371" s="54" t="s">
        <v>98</v>
      </c>
      <c r="AN371" s="56"/>
      <c r="AO371" s="54" t="s">
        <v>13</v>
      </c>
      <c r="AP371" s="59"/>
      <c r="AQ371" s="337"/>
      <c r="AR371" s="54" t="s">
        <v>98</v>
      </c>
      <c r="AS371" s="56"/>
      <c r="AT371" s="54" t="s">
        <v>13</v>
      </c>
      <c r="AU371" s="59"/>
    </row>
    <row r="372" spans="1:47" ht="16.5" customHeight="1">
      <c r="A372" s="329"/>
      <c r="B372" s="330"/>
      <c r="C372" s="15" t="s">
        <v>41</v>
      </c>
      <c r="D372" s="19"/>
      <c r="E372" s="15" t="s">
        <v>52</v>
      </c>
      <c r="F372" s="18"/>
      <c r="G372" s="155">
        <v>8</v>
      </c>
      <c r="H372" s="185"/>
      <c r="I372" s="25"/>
      <c r="J372" s="29"/>
      <c r="K372" s="15" t="s">
        <v>62</v>
      </c>
      <c r="L372" s="11"/>
      <c r="M372" s="33"/>
      <c r="N372" s="34"/>
      <c r="O372" s="15" t="s">
        <v>62</v>
      </c>
      <c r="P372" s="11"/>
      <c r="Q372" s="33"/>
      <c r="R372" s="34"/>
      <c r="S372" s="15" t="s">
        <v>62</v>
      </c>
      <c r="T372" s="11"/>
      <c r="U372" s="33"/>
      <c r="V372" s="38"/>
      <c r="W372" s="346"/>
      <c r="X372" s="342"/>
      <c r="Y372" s="342"/>
      <c r="Z372" s="342"/>
      <c r="AA372" s="342"/>
      <c r="AB372" s="344"/>
      <c r="AC372" s="346"/>
      <c r="AD372" s="342"/>
      <c r="AE372" s="342"/>
      <c r="AF372" s="342"/>
      <c r="AG372" s="342"/>
      <c r="AH372" s="344"/>
      <c r="AI372" s="356"/>
      <c r="AJ372" s="343"/>
      <c r="AK372" s="345"/>
      <c r="AL372" s="337"/>
      <c r="AM372" s="54" t="s">
        <v>99</v>
      </c>
      <c r="AN372" s="57"/>
      <c r="AO372" s="54" t="s">
        <v>13</v>
      </c>
      <c r="AP372" s="60"/>
      <c r="AQ372" s="337"/>
      <c r="AR372" s="54" t="s">
        <v>99</v>
      </c>
      <c r="AS372" s="57"/>
      <c r="AT372" s="54" t="s">
        <v>13</v>
      </c>
      <c r="AU372" s="60"/>
    </row>
    <row r="373" spans="1:47" ht="16.5" customHeight="1">
      <c r="A373" s="329"/>
      <c r="B373" s="330"/>
      <c r="C373" s="15" t="s">
        <v>42</v>
      </c>
      <c r="D373" s="19"/>
      <c r="E373" s="16" t="s">
        <v>53</v>
      </c>
      <c r="F373" s="22"/>
      <c r="G373" s="160"/>
      <c r="H373" s="186"/>
      <c r="I373" s="161"/>
      <c r="J373" s="161"/>
      <c r="K373" s="15" t="s">
        <v>63</v>
      </c>
      <c r="L373" s="11"/>
      <c r="M373" s="33"/>
      <c r="N373" s="34"/>
      <c r="O373" s="15" t="s">
        <v>63</v>
      </c>
      <c r="P373" s="11"/>
      <c r="Q373" s="33"/>
      <c r="R373" s="34"/>
      <c r="S373" s="15" t="s">
        <v>63</v>
      </c>
      <c r="T373" s="11"/>
      <c r="U373" s="33"/>
      <c r="V373" s="38"/>
      <c r="W373" s="356"/>
      <c r="X373" s="343"/>
      <c r="Y373" s="343"/>
      <c r="Z373" s="343"/>
      <c r="AA373" s="343"/>
      <c r="AB373" s="345"/>
      <c r="AC373" s="356"/>
      <c r="AD373" s="343"/>
      <c r="AE373" s="343"/>
      <c r="AF373" s="343"/>
      <c r="AG373" s="343"/>
      <c r="AH373" s="345"/>
      <c r="AI373" s="172"/>
      <c r="AJ373" s="173"/>
      <c r="AK373" s="174"/>
      <c r="AL373" s="338"/>
      <c r="AM373" s="55" t="s">
        <v>100</v>
      </c>
      <c r="AN373" s="58"/>
      <c r="AO373" s="55" t="s">
        <v>101</v>
      </c>
      <c r="AP373" s="61"/>
      <c r="AQ373" s="338"/>
      <c r="AR373" s="55" t="s">
        <v>100</v>
      </c>
      <c r="AS373" s="58"/>
      <c r="AT373" s="55" t="s">
        <v>101</v>
      </c>
      <c r="AU373" s="61"/>
    </row>
    <row r="374" spans="1:47" ht="16.5" customHeight="1">
      <c r="A374" s="329"/>
      <c r="B374" s="330"/>
      <c r="C374" s="16" t="s">
        <v>43</v>
      </c>
      <c r="D374" s="21"/>
      <c r="E374" s="189" t="s">
        <v>293</v>
      </c>
      <c r="F374" s="190"/>
      <c r="G374" s="162"/>
      <c r="H374" s="187"/>
      <c r="I374" s="163"/>
      <c r="J374" s="163"/>
      <c r="K374" s="30" t="s">
        <v>64</v>
      </c>
      <c r="L374" s="24"/>
      <c r="M374" s="35"/>
      <c r="N374" s="36"/>
      <c r="O374" s="30" t="s">
        <v>64</v>
      </c>
      <c r="P374" s="24"/>
      <c r="Q374" s="35"/>
      <c r="R374" s="36"/>
      <c r="S374" s="30" t="s">
        <v>64</v>
      </c>
      <c r="T374" s="24"/>
      <c r="U374" s="35"/>
      <c r="V374" s="39"/>
      <c r="W374" s="156"/>
      <c r="X374" s="157"/>
      <c r="Y374" s="165"/>
      <c r="Z374" s="165"/>
      <c r="AA374" s="166"/>
      <c r="AB374" s="167"/>
      <c r="AC374" s="168"/>
      <c r="AD374" s="169"/>
      <c r="AE374" s="170"/>
      <c r="AF374" s="170"/>
      <c r="AG374" s="170"/>
      <c r="AH374" s="171"/>
      <c r="AI374" s="168"/>
      <c r="AJ374" s="169"/>
      <c r="AK374" s="171"/>
      <c r="AL374" s="175"/>
      <c r="AM374" s="158"/>
      <c r="AN374" s="158"/>
      <c r="AO374" s="158"/>
      <c r="AP374" s="159"/>
      <c r="AQ374" s="175"/>
      <c r="AR374" s="158"/>
      <c r="AS374" s="158"/>
      <c r="AT374" s="158"/>
      <c r="AU374" s="159"/>
    </row>
    <row r="375" spans="1:47" ht="16.5" customHeight="1"/>
    <row r="376" spans="1:47" ht="16.5" customHeight="1">
      <c r="A376" s="329">
        <v>32</v>
      </c>
      <c r="B376" s="330"/>
      <c r="C376" s="14" t="s">
        <v>45</v>
      </c>
      <c r="D376" s="52"/>
      <c r="E376" s="14" t="s">
        <v>46</v>
      </c>
      <c r="F376" s="17"/>
      <c r="G376" s="149">
        <v>6</v>
      </c>
      <c r="H376" s="181"/>
      <c r="I376" s="10"/>
      <c r="J376" s="26"/>
      <c r="K376" s="14" t="s">
        <v>54</v>
      </c>
      <c r="L376" s="9"/>
      <c r="M376" s="31"/>
      <c r="N376" s="32"/>
      <c r="O376" s="14" t="s">
        <v>54</v>
      </c>
      <c r="P376" s="9"/>
      <c r="Q376" s="31"/>
      <c r="R376" s="32"/>
      <c r="S376" s="14" t="s">
        <v>54</v>
      </c>
      <c r="T376" s="9"/>
      <c r="U376" s="31"/>
      <c r="V376" s="37"/>
      <c r="W376" s="353"/>
      <c r="X376" s="354"/>
      <c r="Y376" s="354"/>
      <c r="Z376" s="354"/>
      <c r="AA376" s="354"/>
      <c r="AB376" s="355"/>
      <c r="AC376" s="353"/>
      <c r="AD376" s="354"/>
      <c r="AE376" s="354"/>
      <c r="AF376" s="354"/>
      <c r="AG376" s="354"/>
      <c r="AH376" s="355"/>
      <c r="AI376" s="353">
        <v>6</v>
      </c>
      <c r="AJ376" s="354"/>
      <c r="AK376" s="355"/>
      <c r="AL376" s="336">
        <v>1</v>
      </c>
      <c r="AM376" s="53" t="s">
        <v>0</v>
      </c>
      <c r="AN376" s="339"/>
      <c r="AO376" s="340"/>
      <c r="AP376" s="341"/>
      <c r="AQ376" s="336">
        <v>3</v>
      </c>
      <c r="AR376" s="53" t="s">
        <v>0</v>
      </c>
      <c r="AS376" s="339"/>
      <c r="AT376" s="340"/>
      <c r="AU376" s="341"/>
    </row>
    <row r="377" spans="1:47" ht="16.5" customHeight="1">
      <c r="A377" s="329"/>
      <c r="B377" s="330"/>
      <c r="C377" s="15" t="s">
        <v>36</v>
      </c>
      <c r="D377" s="19"/>
      <c r="E377" s="15" t="s">
        <v>73</v>
      </c>
      <c r="F377" s="18"/>
      <c r="G377" s="150">
        <v>7</v>
      </c>
      <c r="H377" s="182"/>
      <c r="I377" s="12"/>
      <c r="J377" s="27"/>
      <c r="K377" s="15" t="s">
        <v>55</v>
      </c>
      <c r="L377" s="11"/>
      <c r="M377" s="33"/>
      <c r="N377" s="34"/>
      <c r="O377" s="15" t="s">
        <v>55</v>
      </c>
      <c r="P377" s="11"/>
      <c r="Q377" s="33"/>
      <c r="R377" s="34"/>
      <c r="S377" s="15" t="s">
        <v>55</v>
      </c>
      <c r="T377" s="11"/>
      <c r="U377" s="33"/>
      <c r="V377" s="38"/>
      <c r="W377" s="346"/>
      <c r="X377" s="342"/>
      <c r="Y377" s="342"/>
      <c r="Z377" s="342"/>
      <c r="AA377" s="342"/>
      <c r="AB377" s="344"/>
      <c r="AC377" s="346"/>
      <c r="AD377" s="342"/>
      <c r="AE377" s="342"/>
      <c r="AF377" s="342"/>
      <c r="AG377" s="342"/>
      <c r="AH377" s="344"/>
      <c r="AI377" s="346"/>
      <c r="AJ377" s="342"/>
      <c r="AK377" s="344"/>
      <c r="AL377" s="337"/>
      <c r="AM377" s="54" t="s">
        <v>97</v>
      </c>
      <c r="AN377" s="176"/>
      <c r="AO377" s="54" t="s">
        <v>212</v>
      </c>
      <c r="AP377" s="178"/>
      <c r="AQ377" s="337"/>
      <c r="AR377" s="54" t="s">
        <v>97</v>
      </c>
      <c r="AS377" s="176"/>
      <c r="AT377" s="179" t="s">
        <v>212</v>
      </c>
      <c r="AU377" s="177"/>
    </row>
    <row r="378" spans="1:47" ht="16.5" customHeight="1">
      <c r="A378" s="329"/>
      <c r="B378" s="330"/>
      <c r="C378" s="15" t="s">
        <v>37</v>
      </c>
      <c r="D378" s="20"/>
      <c r="E378" s="15" t="s">
        <v>47</v>
      </c>
      <c r="F378" s="18"/>
      <c r="G378" s="150">
        <v>8</v>
      </c>
      <c r="H378" s="183"/>
      <c r="I378" s="13"/>
      <c r="J378" s="28"/>
      <c r="K378" s="15" t="s">
        <v>56</v>
      </c>
      <c r="L378" s="11"/>
      <c r="M378" s="33"/>
      <c r="N378" s="34"/>
      <c r="O378" s="15" t="s">
        <v>56</v>
      </c>
      <c r="P378" s="11"/>
      <c r="Q378" s="33"/>
      <c r="R378" s="34"/>
      <c r="S378" s="15" t="s">
        <v>56</v>
      </c>
      <c r="T378" s="11"/>
      <c r="U378" s="33"/>
      <c r="V378" s="38"/>
      <c r="W378" s="346"/>
      <c r="X378" s="342"/>
      <c r="Y378" s="342"/>
      <c r="Z378" s="342"/>
      <c r="AA378" s="342"/>
      <c r="AB378" s="344"/>
      <c r="AC378" s="346"/>
      <c r="AD378" s="342"/>
      <c r="AE378" s="342"/>
      <c r="AF378" s="342"/>
      <c r="AG378" s="342"/>
      <c r="AH378" s="344"/>
      <c r="AI378" s="346"/>
      <c r="AJ378" s="342"/>
      <c r="AK378" s="344"/>
      <c r="AL378" s="337"/>
      <c r="AM378" s="54" t="s">
        <v>98</v>
      </c>
      <c r="AN378" s="56"/>
      <c r="AO378" s="54" t="s">
        <v>13</v>
      </c>
      <c r="AP378" s="59"/>
      <c r="AQ378" s="337"/>
      <c r="AR378" s="54" t="s">
        <v>98</v>
      </c>
      <c r="AS378" s="56"/>
      <c r="AT378" s="54" t="s">
        <v>13</v>
      </c>
      <c r="AU378" s="59"/>
    </row>
    <row r="379" spans="1:47" ht="16.5" customHeight="1">
      <c r="A379" s="329"/>
      <c r="B379" s="330"/>
      <c r="C379" s="15" t="s">
        <v>44</v>
      </c>
      <c r="D379" s="19"/>
      <c r="E379" s="15" t="s">
        <v>65</v>
      </c>
      <c r="F379" s="18"/>
      <c r="G379" s="153"/>
      <c r="H379" s="184"/>
      <c r="I379" s="23"/>
      <c r="J379" s="23"/>
      <c r="K379" s="15" t="s">
        <v>57</v>
      </c>
      <c r="L379" s="11"/>
      <c r="M379" s="33"/>
      <c r="N379" s="34"/>
      <c r="O379" s="15" t="s">
        <v>57</v>
      </c>
      <c r="P379" s="11"/>
      <c r="Q379" s="33"/>
      <c r="R379" s="34"/>
      <c r="S379" s="15" t="s">
        <v>57</v>
      </c>
      <c r="T379" s="11"/>
      <c r="U379" s="33"/>
      <c r="V379" s="38"/>
      <c r="W379" s="346"/>
      <c r="X379" s="342"/>
      <c r="Y379" s="342"/>
      <c r="Z379" s="342"/>
      <c r="AA379" s="342"/>
      <c r="AB379" s="344"/>
      <c r="AC379" s="346"/>
      <c r="AD379" s="342"/>
      <c r="AE379" s="342"/>
      <c r="AF379" s="342"/>
      <c r="AG379" s="342"/>
      <c r="AH379" s="344"/>
      <c r="AI379" s="346">
        <v>7</v>
      </c>
      <c r="AJ379" s="342"/>
      <c r="AK379" s="344"/>
      <c r="AL379" s="337"/>
      <c r="AM379" s="54" t="s">
        <v>99</v>
      </c>
      <c r="AN379" s="57"/>
      <c r="AO379" s="54" t="s">
        <v>13</v>
      </c>
      <c r="AP379" s="60"/>
      <c r="AQ379" s="337"/>
      <c r="AR379" s="54" t="s">
        <v>99</v>
      </c>
      <c r="AS379" s="57"/>
      <c r="AT379" s="54" t="s">
        <v>13</v>
      </c>
      <c r="AU379" s="60"/>
    </row>
    <row r="380" spans="1:47" ht="16.5" customHeight="1">
      <c r="A380" s="329"/>
      <c r="B380" s="330"/>
      <c r="C380" s="15" t="s">
        <v>229</v>
      </c>
      <c r="D380" s="4"/>
      <c r="E380" s="15" t="s">
        <v>48</v>
      </c>
      <c r="F380" s="18"/>
      <c r="G380" s="331" t="s">
        <v>12</v>
      </c>
      <c r="H380" s="332"/>
      <c r="I380" s="332"/>
      <c r="J380" s="332"/>
      <c r="K380" s="15" t="s">
        <v>58</v>
      </c>
      <c r="L380" s="11"/>
      <c r="M380" s="33"/>
      <c r="N380" s="34"/>
      <c r="O380" s="15" t="s">
        <v>58</v>
      </c>
      <c r="P380" s="11"/>
      <c r="Q380" s="33"/>
      <c r="R380" s="34"/>
      <c r="S380" s="15" t="s">
        <v>58</v>
      </c>
      <c r="T380" s="11"/>
      <c r="U380" s="33"/>
      <c r="V380" s="38"/>
      <c r="W380" s="346"/>
      <c r="X380" s="342"/>
      <c r="Y380" s="342"/>
      <c r="Z380" s="342"/>
      <c r="AA380" s="342"/>
      <c r="AB380" s="344"/>
      <c r="AC380" s="346"/>
      <c r="AD380" s="342"/>
      <c r="AE380" s="342"/>
      <c r="AF380" s="342"/>
      <c r="AG380" s="342"/>
      <c r="AH380" s="344"/>
      <c r="AI380" s="346"/>
      <c r="AJ380" s="342"/>
      <c r="AK380" s="344"/>
      <c r="AL380" s="338"/>
      <c r="AM380" s="55" t="s">
        <v>100</v>
      </c>
      <c r="AN380" s="58"/>
      <c r="AO380" s="55" t="s">
        <v>101</v>
      </c>
      <c r="AP380" s="61"/>
      <c r="AQ380" s="338"/>
      <c r="AR380" s="55" t="s">
        <v>100</v>
      </c>
      <c r="AS380" s="58"/>
      <c r="AT380" s="55" t="s">
        <v>101</v>
      </c>
      <c r="AU380" s="61"/>
    </row>
    <row r="381" spans="1:47" ht="16.5" customHeight="1">
      <c r="A381" s="329"/>
      <c r="B381" s="330"/>
      <c r="C381" s="15" t="s">
        <v>38</v>
      </c>
      <c r="D381" s="19"/>
      <c r="E381" s="15" t="s">
        <v>49</v>
      </c>
      <c r="F381" s="18"/>
      <c r="G381" s="8" t="s">
        <v>13</v>
      </c>
      <c r="H381" s="180" t="s">
        <v>14</v>
      </c>
      <c r="I381" s="6" t="s">
        <v>15</v>
      </c>
      <c r="J381" s="6" t="s">
        <v>16</v>
      </c>
      <c r="K381" s="15" t="s">
        <v>59</v>
      </c>
      <c r="L381" s="11"/>
      <c r="M381" s="33"/>
      <c r="N381" s="34"/>
      <c r="O381" s="15" t="s">
        <v>59</v>
      </c>
      <c r="P381" s="11"/>
      <c r="Q381" s="33"/>
      <c r="R381" s="34"/>
      <c r="S381" s="15" t="s">
        <v>59</v>
      </c>
      <c r="T381" s="11"/>
      <c r="U381" s="33"/>
      <c r="V381" s="38"/>
      <c r="W381" s="346"/>
      <c r="X381" s="342"/>
      <c r="Y381" s="342"/>
      <c r="Z381" s="342"/>
      <c r="AA381" s="342"/>
      <c r="AB381" s="344"/>
      <c r="AC381" s="346"/>
      <c r="AD381" s="342"/>
      <c r="AE381" s="342"/>
      <c r="AF381" s="342"/>
      <c r="AG381" s="342"/>
      <c r="AH381" s="344"/>
      <c r="AI381" s="346"/>
      <c r="AJ381" s="342"/>
      <c r="AK381" s="344"/>
      <c r="AL381" s="336">
        <v>2</v>
      </c>
      <c r="AM381" s="53" t="s">
        <v>0</v>
      </c>
      <c r="AN381" s="339"/>
      <c r="AO381" s="340"/>
      <c r="AP381" s="341"/>
      <c r="AQ381" s="336">
        <v>4</v>
      </c>
      <c r="AR381" s="53" t="s">
        <v>0</v>
      </c>
      <c r="AS381" s="339"/>
      <c r="AT381" s="340"/>
      <c r="AU381" s="341"/>
    </row>
    <row r="382" spans="1:47" ht="16.5" customHeight="1">
      <c r="A382" s="329"/>
      <c r="B382" s="330"/>
      <c r="C382" s="15" t="s">
        <v>39</v>
      </c>
      <c r="D382" s="19"/>
      <c r="E382" s="15" t="s">
        <v>50</v>
      </c>
      <c r="F382" s="18"/>
      <c r="G382" s="154">
        <v>6</v>
      </c>
      <c r="H382" s="181"/>
      <c r="I382" s="10"/>
      <c r="J382" s="26"/>
      <c r="K382" s="15" t="s">
        <v>60</v>
      </c>
      <c r="L382" s="11"/>
      <c r="M382" s="33"/>
      <c r="N382" s="34"/>
      <c r="O382" s="15" t="s">
        <v>60</v>
      </c>
      <c r="P382" s="11"/>
      <c r="Q382" s="33"/>
      <c r="R382" s="34"/>
      <c r="S382" s="15" t="s">
        <v>60</v>
      </c>
      <c r="T382" s="11"/>
      <c r="U382" s="33"/>
      <c r="V382" s="38"/>
      <c r="W382" s="346"/>
      <c r="X382" s="342"/>
      <c r="Y382" s="342"/>
      <c r="Z382" s="342"/>
      <c r="AA382" s="342"/>
      <c r="AB382" s="344"/>
      <c r="AC382" s="346"/>
      <c r="AD382" s="342"/>
      <c r="AE382" s="342"/>
      <c r="AF382" s="342"/>
      <c r="AG382" s="342"/>
      <c r="AH382" s="344"/>
      <c r="AI382" s="346">
        <v>8</v>
      </c>
      <c r="AJ382" s="342"/>
      <c r="AK382" s="344"/>
      <c r="AL382" s="337"/>
      <c r="AM382" s="54" t="s">
        <v>97</v>
      </c>
      <c r="AN382" s="176"/>
      <c r="AO382" s="179" t="s">
        <v>212</v>
      </c>
      <c r="AP382" s="177"/>
      <c r="AQ382" s="337"/>
      <c r="AR382" s="54" t="s">
        <v>97</v>
      </c>
      <c r="AS382" s="176"/>
      <c r="AT382" s="179" t="s">
        <v>212</v>
      </c>
      <c r="AU382" s="177"/>
    </row>
    <row r="383" spans="1:47" ht="16.5" customHeight="1">
      <c r="A383" s="329"/>
      <c r="B383" s="330"/>
      <c r="C383" s="15" t="s">
        <v>40</v>
      </c>
      <c r="D383" s="19"/>
      <c r="E383" s="15" t="s">
        <v>51</v>
      </c>
      <c r="F383" s="18"/>
      <c r="G383" s="155">
        <v>7</v>
      </c>
      <c r="H383" s="182"/>
      <c r="I383" s="12"/>
      <c r="J383" s="27"/>
      <c r="K383" s="15" t="s">
        <v>61</v>
      </c>
      <c r="L383" s="11"/>
      <c r="M383" s="33"/>
      <c r="N383" s="34"/>
      <c r="O383" s="15" t="s">
        <v>61</v>
      </c>
      <c r="P383" s="11"/>
      <c r="Q383" s="33"/>
      <c r="R383" s="34"/>
      <c r="S383" s="15" t="s">
        <v>61</v>
      </c>
      <c r="T383" s="11"/>
      <c r="U383" s="33"/>
      <c r="V383" s="38"/>
      <c r="W383" s="346"/>
      <c r="X383" s="342"/>
      <c r="Y383" s="342"/>
      <c r="Z383" s="342"/>
      <c r="AA383" s="342"/>
      <c r="AB383" s="344"/>
      <c r="AC383" s="346"/>
      <c r="AD383" s="342"/>
      <c r="AE383" s="342"/>
      <c r="AF383" s="342"/>
      <c r="AG383" s="342"/>
      <c r="AH383" s="344"/>
      <c r="AI383" s="346"/>
      <c r="AJ383" s="342"/>
      <c r="AK383" s="344"/>
      <c r="AL383" s="337"/>
      <c r="AM383" s="54" t="s">
        <v>98</v>
      </c>
      <c r="AN383" s="56"/>
      <c r="AO383" s="54" t="s">
        <v>13</v>
      </c>
      <c r="AP383" s="59"/>
      <c r="AQ383" s="337"/>
      <c r="AR383" s="54" t="s">
        <v>98</v>
      </c>
      <c r="AS383" s="56"/>
      <c r="AT383" s="54" t="s">
        <v>13</v>
      </c>
      <c r="AU383" s="59"/>
    </row>
    <row r="384" spans="1:47" ht="16.5" customHeight="1">
      <c r="A384" s="329"/>
      <c r="B384" s="330"/>
      <c r="C384" s="15" t="s">
        <v>41</v>
      </c>
      <c r="D384" s="19"/>
      <c r="E384" s="15" t="s">
        <v>52</v>
      </c>
      <c r="F384" s="18"/>
      <c r="G384" s="155">
        <v>8</v>
      </c>
      <c r="H384" s="185"/>
      <c r="I384" s="25"/>
      <c r="J384" s="29"/>
      <c r="K384" s="15" t="s">
        <v>62</v>
      </c>
      <c r="L384" s="11"/>
      <c r="M384" s="33"/>
      <c r="N384" s="34"/>
      <c r="O384" s="15" t="s">
        <v>62</v>
      </c>
      <c r="P384" s="11"/>
      <c r="Q384" s="33"/>
      <c r="R384" s="34"/>
      <c r="S384" s="15" t="s">
        <v>62</v>
      </c>
      <c r="T384" s="11"/>
      <c r="U384" s="33"/>
      <c r="V384" s="38"/>
      <c r="W384" s="346"/>
      <c r="X384" s="342"/>
      <c r="Y384" s="342"/>
      <c r="Z384" s="342"/>
      <c r="AA384" s="342"/>
      <c r="AB384" s="344"/>
      <c r="AC384" s="346"/>
      <c r="AD384" s="342"/>
      <c r="AE384" s="342"/>
      <c r="AF384" s="342"/>
      <c r="AG384" s="342"/>
      <c r="AH384" s="344"/>
      <c r="AI384" s="356"/>
      <c r="AJ384" s="343"/>
      <c r="AK384" s="345"/>
      <c r="AL384" s="337"/>
      <c r="AM384" s="54" t="s">
        <v>99</v>
      </c>
      <c r="AN384" s="57"/>
      <c r="AO384" s="54" t="s">
        <v>13</v>
      </c>
      <c r="AP384" s="60"/>
      <c r="AQ384" s="337"/>
      <c r="AR384" s="54" t="s">
        <v>99</v>
      </c>
      <c r="AS384" s="57"/>
      <c r="AT384" s="54" t="s">
        <v>13</v>
      </c>
      <c r="AU384" s="60"/>
    </row>
    <row r="385" spans="1:47" ht="16.5" customHeight="1">
      <c r="A385" s="329"/>
      <c r="B385" s="330"/>
      <c r="C385" s="15" t="s">
        <v>42</v>
      </c>
      <c r="D385" s="19"/>
      <c r="E385" s="16" t="s">
        <v>53</v>
      </c>
      <c r="F385" s="22"/>
      <c r="G385" s="160"/>
      <c r="H385" s="186"/>
      <c r="I385" s="161"/>
      <c r="J385" s="161"/>
      <c r="K385" s="15" t="s">
        <v>63</v>
      </c>
      <c r="L385" s="11"/>
      <c r="M385" s="33"/>
      <c r="N385" s="34"/>
      <c r="O385" s="15" t="s">
        <v>63</v>
      </c>
      <c r="P385" s="11"/>
      <c r="Q385" s="33"/>
      <c r="R385" s="34"/>
      <c r="S385" s="15" t="s">
        <v>63</v>
      </c>
      <c r="T385" s="11"/>
      <c r="U385" s="33"/>
      <c r="V385" s="38"/>
      <c r="W385" s="356"/>
      <c r="X385" s="343"/>
      <c r="Y385" s="343"/>
      <c r="Z385" s="343"/>
      <c r="AA385" s="343"/>
      <c r="AB385" s="345"/>
      <c r="AC385" s="356"/>
      <c r="AD385" s="343"/>
      <c r="AE385" s="343"/>
      <c r="AF385" s="343"/>
      <c r="AG385" s="343"/>
      <c r="AH385" s="345"/>
      <c r="AI385" s="172"/>
      <c r="AJ385" s="173"/>
      <c r="AK385" s="174"/>
      <c r="AL385" s="338"/>
      <c r="AM385" s="55" t="s">
        <v>100</v>
      </c>
      <c r="AN385" s="58"/>
      <c r="AO385" s="55" t="s">
        <v>101</v>
      </c>
      <c r="AP385" s="61"/>
      <c r="AQ385" s="338"/>
      <c r="AR385" s="55" t="s">
        <v>100</v>
      </c>
      <c r="AS385" s="58"/>
      <c r="AT385" s="55" t="s">
        <v>101</v>
      </c>
      <c r="AU385" s="61"/>
    </row>
    <row r="386" spans="1:47" ht="16.5" customHeight="1">
      <c r="A386" s="329"/>
      <c r="B386" s="330"/>
      <c r="C386" s="16" t="s">
        <v>43</v>
      </c>
      <c r="D386" s="21"/>
      <c r="E386" s="189" t="s">
        <v>293</v>
      </c>
      <c r="F386" s="190"/>
      <c r="G386" s="162"/>
      <c r="H386" s="187"/>
      <c r="I386" s="163"/>
      <c r="J386" s="163"/>
      <c r="K386" s="30" t="s">
        <v>64</v>
      </c>
      <c r="L386" s="24"/>
      <c r="M386" s="35"/>
      <c r="N386" s="36"/>
      <c r="O386" s="30" t="s">
        <v>64</v>
      </c>
      <c r="P386" s="24"/>
      <c r="Q386" s="35"/>
      <c r="R386" s="36"/>
      <c r="S386" s="30" t="s">
        <v>64</v>
      </c>
      <c r="T386" s="24"/>
      <c r="U386" s="35"/>
      <c r="V386" s="39"/>
      <c r="W386" s="156"/>
      <c r="X386" s="157"/>
      <c r="Y386" s="165"/>
      <c r="Z386" s="165"/>
      <c r="AA386" s="166"/>
      <c r="AB386" s="167"/>
      <c r="AC386" s="168"/>
      <c r="AD386" s="169"/>
      <c r="AE386" s="170"/>
      <c r="AF386" s="170"/>
      <c r="AG386" s="170"/>
      <c r="AH386" s="171"/>
      <c r="AI386" s="168"/>
      <c r="AJ386" s="169"/>
      <c r="AK386" s="171"/>
      <c r="AL386" s="175"/>
      <c r="AM386" s="158"/>
      <c r="AN386" s="158"/>
      <c r="AO386" s="158"/>
      <c r="AP386" s="159"/>
      <c r="AQ386" s="175"/>
      <c r="AR386" s="158"/>
      <c r="AS386" s="158"/>
      <c r="AT386" s="158"/>
      <c r="AU386" s="159"/>
    </row>
    <row r="387" spans="1:47" ht="16.5" customHeight="1"/>
    <row r="388" spans="1:47" ht="16.5" customHeight="1">
      <c r="A388" s="329">
        <v>33</v>
      </c>
      <c r="B388" s="330"/>
      <c r="C388" s="14" t="s">
        <v>45</v>
      </c>
      <c r="D388" s="52"/>
      <c r="E388" s="14" t="s">
        <v>46</v>
      </c>
      <c r="F388" s="17"/>
      <c r="G388" s="149">
        <v>6</v>
      </c>
      <c r="H388" s="181"/>
      <c r="I388" s="10"/>
      <c r="J388" s="26"/>
      <c r="K388" s="14" t="s">
        <v>54</v>
      </c>
      <c r="L388" s="9"/>
      <c r="M388" s="31"/>
      <c r="N388" s="32"/>
      <c r="O388" s="14" t="s">
        <v>54</v>
      </c>
      <c r="P388" s="9"/>
      <c r="Q388" s="31"/>
      <c r="R388" s="32"/>
      <c r="S388" s="14" t="s">
        <v>54</v>
      </c>
      <c r="T388" s="9"/>
      <c r="U388" s="31"/>
      <c r="V388" s="37"/>
      <c r="W388" s="353"/>
      <c r="X388" s="354"/>
      <c r="Y388" s="354"/>
      <c r="Z388" s="354"/>
      <c r="AA388" s="354"/>
      <c r="AB388" s="355"/>
      <c r="AC388" s="353"/>
      <c r="AD388" s="354"/>
      <c r="AE388" s="354"/>
      <c r="AF388" s="354"/>
      <c r="AG388" s="354"/>
      <c r="AH388" s="355"/>
      <c r="AI388" s="353">
        <v>6</v>
      </c>
      <c r="AJ388" s="354"/>
      <c r="AK388" s="355"/>
      <c r="AL388" s="336">
        <v>1</v>
      </c>
      <c r="AM388" s="53" t="s">
        <v>0</v>
      </c>
      <c r="AN388" s="339"/>
      <c r="AO388" s="340"/>
      <c r="AP388" s="341"/>
      <c r="AQ388" s="336">
        <v>3</v>
      </c>
      <c r="AR388" s="53" t="s">
        <v>0</v>
      </c>
      <c r="AS388" s="339"/>
      <c r="AT388" s="340"/>
      <c r="AU388" s="341"/>
    </row>
    <row r="389" spans="1:47" ht="16.5" customHeight="1">
      <c r="A389" s="329"/>
      <c r="B389" s="330"/>
      <c r="C389" s="15" t="s">
        <v>36</v>
      </c>
      <c r="D389" s="19"/>
      <c r="E389" s="15" t="s">
        <v>73</v>
      </c>
      <c r="F389" s="18"/>
      <c r="G389" s="150">
        <v>7</v>
      </c>
      <c r="H389" s="182"/>
      <c r="I389" s="12"/>
      <c r="J389" s="27"/>
      <c r="K389" s="15" t="s">
        <v>55</v>
      </c>
      <c r="L389" s="11"/>
      <c r="M389" s="33"/>
      <c r="N389" s="34"/>
      <c r="O389" s="15" t="s">
        <v>55</v>
      </c>
      <c r="P389" s="11"/>
      <c r="Q389" s="33"/>
      <c r="R389" s="34"/>
      <c r="S389" s="15" t="s">
        <v>55</v>
      </c>
      <c r="T389" s="11"/>
      <c r="U389" s="33"/>
      <c r="V389" s="38"/>
      <c r="W389" s="346"/>
      <c r="X389" s="342"/>
      <c r="Y389" s="342"/>
      <c r="Z389" s="342"/>
      <c r="AA389" s="342"/>
      <c r="AB389" s="344"/>
      <c r="AC389" s="346"/>
      <c r="AD389" s="342"/>
      <c r="AE389" s="342"/>
      <c r="AF389" s="342"/>
      <c r="AG389" s="342"/>
      <c r="AH389" s="344"/>
      <c r="AI389" s="346"/>
      <c r="AJ389" s="342"/>
      <c r="AK389" s="344"/>
      <c r="AL389" s="337"/>
      <c r="AM389" s="54" t="s">
        <v>97</v>
      </c>
      <c r="AN389" s="176"/>
      <c r="AO389" s="54" t="s">
        <v>212</v>
      </c>
      <c r="AP389" s="178"/>
      <c r="AQ389" s="337"/>
      <c r="AR389" s="54" t="s">
        <v>97</v>
      </c>
      <c r="AS389" s="176"/>
      <c r="AT389" s="179" t="s">
        <v>212</v>
      </c>
      <c r="AU389" s="177"/>
    </row>
    <row r="390" spans="1:47" ht="16.5" customHeight="1">
      <c r="A390" s="329"/>
      <c r="B390" s="330"/>
      <c r="C390" s="15" t="s">
        <v>37</v>
      </c>
      <c r="D390" s="20"/>
      <c r="E390" s="15" t="s">
        <v>47</v>
      </c>
      <c r="F390" s="18"/>
      <c r="G390" s="150">
        <v>8</v>
      </c>
      <c r="H390" s="183"/>
      <c r="I390" s="13"/>
      <c r="J390" s="28"/>
      <c r="K390" s="15" t="s">
        <v>56</v>
      </c>
      <c r="L390" s="11"/>
      <c r="M390" s="33"/>
      <c r="N390" s="34"/>
      <c r="O390" s="15" t="s">
        <v>56</v>
      </c>
      <c r="P390" s="11"/>
      <c r="Q390" s="33"/>
      <c r="R390" s="34"/>
      <c r="S390" s="15" t="s">
        <v>56</v>
      </c>
      <c r="T390" s="11"/>
      <c r="U390" s="33"/>
      <c r="V390" s="38"/>
      <c r="W390" s="346"/>
      <c r="X390" s="342"/>
      <c r="Y390" s="342"/>
      <c r="Z390" s="342"/>
      <c r="AA390" s="342"/>
      <c r="AB390" s="344"/>
      <c r="AC390" s="346"/>
      <c r="AD390" s="342"/>
      <c r="AE390" s="342"/>
      <c r="AF390" s="342"/>
      <c r="AG390" s="342"/>
      <c r="AH390" s="344"/>
      <c r="AI390" s="346"/>
      <c r="AJ390" s="342"/>
      <c r="AK390" s="344"/>
      <c r="AL390" s="337"/>
      <c r="AM390" s="54" t="s">
        <v>98</v>
      </c>
      <c r="AN390" s="56"/>
      <c r="AO390" s="54" t="s">
        <v>13</v>
      </c>
      <c r="AP390" s="59"/>
      <c r="AQ390" s="337"/>
      <c r="AR390" s="54" t="s">
        <v>98</v>
      </c>
      <c r="AS390" s="56"/>
      <c r="AT390" s="54" t="s">
        <v>13</v>
      </c>
      <c r="AU390" s="59"/>
    </row>
    <row r="391" spans="1:47" ht="16.5" customHeight="1">
      <c r="A391" s="329"/>
      <c r="B391" s="330"/>
      <c r="C391" s="15" t="s">
        <v>44</v>
      </c>
      <c r="D391" s="19"/>
      <c r="E391" s="15" t="s">
        <v>65</v>
      </c>
      <c r="F391" s="18"/>
      <c r="G391" s="153"/>
      <c r="H391" s="184"/>
      <c r="I391" s="23"/>
      <c r="J391" s="23"/>
      <c r="K391" s="15" t="s">
        <v>57</v>
      </c>
      <c r="L391" s="11"/>
      <c r="M391" s="33"/>
      <c r="N391" s="34"/>
      <c r="O391" s="15" t="s">
        <v>57</v>
      </c>
      <c r="P391" s="11"/>
      <c r="Q391" s="33"/>
      <c r="R391" s="34"/>
      <c r="S391" s="15" t="s">
        <v>57</v>
      </c>
      <c r="T391" s="11"/>
      <c r="U391" s="33"/>
      <c r="V391" s="38"/>
      <c r="W391" s="346"/>
      <c r="X391" s="342"/>
      <c r="Y391" s="342"/>
      <c r="Z391" s="342"/>
      <c r="AA391" s="342"/>
      <c r="AB391" s="344"/>
      <c r="AC391" s="346"/>
      <c r="AD391" s="342"/>
      <c r="AE391" s="342"/>
      <c r="AF391" s="342"/>
      <c r="AG391" s="342"/>
      <c r="AH391" s="344"/>
      <c r="AI391" s="346">
        <v>7</v>
      </c>
      <c r="AJ391" s="342"/>
      <c r="AK391" s="344"/>
      <c r="AL391" s="337"/>
      <c r="AM391" s="54" t="s">
        <v>99</v>
      </c>
      <c r="AN391" s="57"/>
      <c r="AO391" s="54" t="s">
        <v>13</v>
      </c>
      <c r="AP391" s="60"/>
      <c r="AQ391" s="337"/>
      <c r="AR391" s="54" t="s">
        <v>99</v>
      </c>
      <c r="AS391" s="57"/>
      <c r="AT391" s="54" t="s">
        <v>13</v>
      </c>
      <c r="AU391" s="60"/>
    </row>
    <row r="392" spans="1:47" ht="16.5" customHeight="1">
      <c r="A392" s="329"/>
      <c r="B392" s="330"/>
      <c r="C392" s="15" t="s">
        <v>229</v>
      </c>
      <c r="D392" s="4"/>
      <c r="E392" s="15" t="s">
        <v>48</v>
      </c>
      <c r="F392" s="18"/>
      <c r="G392" s="331" t="s">
        <v>12</v>
      </c>
      <c r="H392" s="332"/>
      <c r="I392" s="332"/>
      <c r="J392" s="332"/>
      <c r="K392" s="15" t="s">
        <v>58</v>
      </c>
      <c r="L392" s="11"/>
      <c r="M392" s="33"/>
      <c r="N392" s="34"/>
      <c r="O392" s="15" t="s">
        <v>58</v>
      </c>
      <c r="P392" s="11"/>
      <c r="Q392" s="33"/>
      <c r="R392" s="34"/>
      <c r="S392" s="15" t="s">
        <v>58</v>
      </c>
      <c r="T392" s="11"/>
      <c r="U392" s="33"/>
      <c r="V392" s="38"/>
      <c r="W392" s="346"/>
      <c r="X392" s="342"/>
      <c r="Y392" s="342"/>
      <c r="Z392" s="342"/>
      <c r="AA392" s="342"/>
      <c r="AB392" s="344"/>
      <c r="AC392" s="346"/>
      <c r="AD392" s="342"/>
      <c r="AE392" s="342"/>
      <c r="AF392" s="342"/>
      <c r="AG392" s="342"/>
      <c r="AH392" s="344"/>
      <c r="AI392" s="346"/>
      <c r="AJ392" s="342"/>
      <c r="AK392" s="344"/>
      <c r="AL392" s="338"/>
      <c r="AM392" s="55" t="s">
        <v>100</v>
      </c>
      <c r="AN392" s="58"/>
      <c r="AO392" s="55" t="s">
        <v>101</v>
      </c>
      <c r="AP392" s="61"/>
      <c r="AQ392" s="338"/>
      <c r="AR392" s="55" t="s">
        <v>100</v>
      </c>
      <c r="AS392" s="58"/>
      <c r="AT392" s="55" t="s">
        <v>101</v>
      </c>
      <c r="AU392" s="61"/>
    </row>
    <row r="393" spans="1:47" ht="16.5" customHeight="1">
      <c r="A393" s="329"/>
      <c r="B393" s="330"/>
      <c r="C393" s="15" t="s">
        <v>38</v>
      </c>
      <c r="D393" s="19"/>
      <c r="E393" s="15" t="s">
        <v>49</v>
      </c>
      <c r="F393" s="18"/>
      <c r="G393" s="8" t="s">
        <v>13</v>
      </c>
      <c r="H393" s="180" t="s">
        <v>14</v>
      </c>
      <c r="I393" s="6" t="s">
        <v>15</v>
      </c>
      <c r="J393" s="6" t="s">
        <v>16</v>
      </c>
      <c r="K393" s="15" t="s">
        <v>59</v>
      </c>
      <c r="L393" s="11"/>
      <c r="M393" s="33"/>
      <c r="N393" s="34"/>
      <c r="O393" s="15" t="s">
        <v>59</v>
      </c>
      <c r="P393" s="11"/>
      <c r="Q393" s="33"/>
      <c r="R393" s="34"/>
      <c r="S393" s="15" t="s">
        <v>59</v>
      </c>
      <c r="T393" s="11"/>
      <c r="U393" s="33"/>
      <c r="V393" s="38"/>
      <c r="W393" s="346"/>
      <c r="X393" s="342"/>
      <c r="Y393" s="342"/>
      <c r="Z393" s="342"/>
      <c r="AA393" s="342"/>
      <c r="AB393" s="344"/>
      <c r="AC393" s="346"/>
      <c r="AD393" s="342"/>
      <c r="AE393" s="342"/>
      <c r="AF393" s="342"/>
      <c r="AG393" s="342"/>
      <c r="AH393" s="344"/>
      <c r="AI393" s="346"/>
      <c r="AJ393" s="342"/>
      <c r="AK393" s="344"/>
      <c r="AL393" s="336">
        <v>2</v>
      </c>
      <c r="AM393" s="53" t="s">
        <v>0</v>
      </c>
      <c r="AN393" s="339"/>
      <c r="AO393" s="340"/>
      <c r="AP393" s="341"/>
      <c r="AQ393" s="336">
        <v>4</v>
      </c>
      <c r="AR393" s="53" t="s">
        <v>0</v>
      </c>
      <c r="AS393" s="339"/>
      <c r="AT393" s="340"/>
      <c r="AU393" s="341"/>
    </row>
    <row r="394" spans="1:47" ht="16.5" customHeight="1">
      <c r="A394" s="329"/>
      <c r="B394" s="330"/>
      <c r="C394" s="15" t="s">
        <v>39</v>
      </c>
      <c r="D394" s="19"/>
      <c r="E394" s="15" t="s">
        <v>50</v>
      </c>
      <c r="F394" s="18"/>
      <c r="G394" s="154">
        <v>6</v>
      </c>
      <c r="H394" s="181"/>
      <c r="I394" s="10"/>
      <c r="J394" s="26"/>
      <c r="K394" s="15" t="s">
        <v>60</v>
      </c>
      <c r="L394" s="11"/>
      <c r="M394" s="33"/>
      <c r="N394" s="34"/>
      <c r="O394" s="15" t="s">
        <v>60</v>
      </c>
      <c r="P394" s="11"/>
      <c r="Q394" s="33"/>
      <c r="R394" s="34"/>
      <c r="S394" s="15" t="s">
        <v>60</v>
      </c>
      <c r="T394" s="11"/>
      <c r="U394" s="33"/>
      <c r="V394" s="38"/>
      <c r="W394" s="346"/>
      <c r="X394" s="342"/>
      <c r="Y394" s="342"/>
      <c r="Z394" s="342"/>
      <c r="AA394" s="342"/>
      <c r="AB394" s="344"/>
      <c r="AC394" s="346"/>
      <c r="AD394" s="342"/>
      <c r="AE394" s="342"/>
      <c r="AF394" s="342"/>
      <c r="AG394" s="342"/>
      <c r="AH394" s="344"/>
      <c r="AI394" s="346">
        <v>8</v>
      </c>
      <c r="AJ394" s="342"/>
      <c r="AK394" s="344"/>
      <c r="AL394" s="337"/>
      <c r="AM394" s="54" t="s">
        <v>97</v>
      </c>
      <c r="AN394" s="176"/>
      <c r="AO394" s="179" t="s">
        <v>212</v>
      </c>
      <c r="AP394" s="177"/>
      <c r="AQ394" s="337"/>
      <c r="AR394" s="54" t="s">
        <v>97</v>
      </c>
      <c r="AS394" s="176"/>
      <c r="AT394" s="179" t="s">
        <v>212</v>
      </c>
      <c r="AU394" s="177"/>
    </row>
    <row r="395" spans="1:47" ht="16.5" customHeight="1">
      <c r="A395" s="329"/>
      <c r="B395" s="330"/>
      <c r="C395" s="15" t="s">
        <v>40</v>
      </c>
      <c r="D395" s="19"/>
      <c r="E395" s="15" t="s">
        <v>51</v>
      </c>
      <c r="F395" s="18"/>
      <c r="G395" s="155">
        <v>7</v>
      </c>
      <c r="H395" s="182"/>
      <c r="I395" s="12"/>
      <c r="J395" s="27"/>
      <c r="K395" s="15" t="s">
        <v>61</v>
      </c>
      <c r="L395" s="11"/>
      <c r="M395" s="33"/>
      <c r="N395" s="34"/>
      <c r="O395" s="15" t="s">
        <v>61</v>
      </c>
      <c r="P395" s="11"/>
      <c r="Q395" s="33"/>
      <c r="R395" s="34"/>
      <c r="S395" s="15" t="s">
        <v>61</v>
      </c>
      <c r="T395" s="11"/>
      <c r="U395" s="33"/>
      <c r="V395" s="38"/>
      <c r="W395" s="346"/>
      <c r="X395" s="342"/>
      <c r="Y395" s="342"/>
      <c r="Z395" s="342"/>
      <c r="AA395" s="342"/>
      <c r="AB395" s="344"/>
      <c r="AC395" s="346"/>
      <c r="AD395" s="342"/>
      <c r="AE395" s="342"/>
      <c r="AF395" s="342"/>
      <c r="AG395" s="342"/>
      <c r="AH395" s="344"/>
      <c r="AI395" s="346"/>
      <c r="AJ395" s="342"/>
      <c r="AK395" s="344"/>
      <c r="AL395" s="337"/>
      <c r="AM395" s="54" t="s">
        <v>98</v>
      </c>
      <c r="AN395" s="56"/>
      <c r="AO395" s="54" t="s">
        <v>13</v>
      </c>
      <c r="AP395" s="59"/>
      <c r="AQ395" s="337"/>
      <c r="AR395" s="54" t="s">
        <v>98</v>
      </c>
      <c r="AS395" s="56"/>
      <c r="AT395" s="54" t="s">
        <v>13</v>
      </c>
      <c r="AU395" s="59"/>
    </row>
    <row r="396" spans="1:47" ht="16.5" customHeight="1">
      <c r="A396" s="329"/>
      <c r="B396" s="330"/>
      <c r="C396" s="15" t="s">
        <v>41</v>
      </c>
      <c r="D396" s="19"/>
      <c r="E396" s="15" t="s">
        <v>52</v>
      </c>
      <c r="F396" s="18"/>
      <c r="G396" s="155">
        <v>8</v>
      </c>
      <c r="H396" s="185"/>
      <c r="I396" s="25"/>
      <c r="J396" s="29"/>
      <c r="K396" s="15" t="s">
        <v>62</v>
      </c>
      <c r="L396" s="11"/>
      <c r="M396" s="33"/>
      <c r="N396" s="34"/>
      <c r="O396" s="15" t="s">
        <v>62</v>
      </c>
      <c r="P396" s="11"/>
      <c r="Q396" s="33"/>
      <c r="R396" s="34"/>
      <c r="S396" s="15" t="s">
        <v>62</v>
      </c>
      <c r="T396" s="11"/>
      <c r="U396" s="33"/>
      <c r="V396" s="38"/>
      <c r="W396" s="346"/>
      <c r="X396" s="342"/>
      <c r="Y396" s="342"/>
      <c r="Z396" s="342"/>
      <c r="AA396" s="342"/>
      <c r="AB396" s="344"/>
      <c r="AC396" s="346"/>
      <c r="AD396" s="342"/>
      <c r="AE396" s="342"/>
      <c r="AF396" s="342"/>
      <c r="AG396" s="342"/>
      <c r="AH396" s="344"/>
      <c r="AI396" s="356"/>
      <c r="AJ396" s="343"/>
      <c r="AK396" s="345"/>
      <c r="AL396" s="337"/>
      <c r="AM396" s="54" t="s">
        <v>99</v>
      </c>
      <c r="AN396" s="57"/>
      <c r="AO396" s="54" t="s">
        <v>13</v>
      </c>
      <c r="AP396" s="60"/>
      <c r="AQ396" s="337"/>
      <c r="AR396" s="54" t="s">
        <v>99</v>
      </c>
      <c r="AS396" s="57"/>
      <c r="AT396" s="54" t="s">
        <v>13</v>
      </c>
      <c r="AU396" s="60"/>
    </row>
    <row r="397" spans="1:47" ht="16.5" customHeight="1">
      <c r="A397" s="329"/>
      <c r="B397" s="330"/>
      <c r="C397" s="15" t="s">
        <v>42</v>
      </c>
      <c r="D397" s="19"/>
      <c r="E397" s="16" t="s">
        <v>53</v>
      </c>
      <c r="F397" s="22"/>
      <c r="G397" s="160"/>
      <c r="H397" s="186"/>
      <c r="I397" s="161"/>
      <c r="J397" s="161"/>
      <c r="K397" s="15" t="s">
        <v>63</v>
      </c>
      <c r="L397" s="11"/>
      <c r="M397" s="33"/>
      <c r="N397" s="34"/>
      <c r="O397" s="15" t="s">
        <v>63</v>
      </c>
      <c r="P397" s="11"/>
      <c r="Q397" s="33"/>
      <c r="R397" s="34"/>
      <c r="S397" s="15" t="s">
        <v>63</v>
      </c>
      <c r="T397" s="11"/>
      <c r="U397" s="33"/>
      <c r="V397" s="38"/>
      <c r="W397" s="356"/>
      <c r="X397" s="343"/>
      <c r="Y397" s="343"/>
      <c r="Z397" s="343"/>
      <c r="AA397" s="343"/>
      <c r="AB397" s="345"/>
      <c r="AC397" s="356"/>
      <c r="AD397" s="343"/>
      <c r="AE397" s="343"/>
      <c r="AF397" s="343"/>
      <c r="AG397" s="343"/>
      <c r="AH397" s="345"/>
      <c r="AI397" s="172"/>
      <c r="AJ397" s="173"/>
      <c r="AK397" s="174"/>
      <c r="AL397" s="338"/>
      <c r="AM397" s="55" t="s">
        <v>100</v>
      </c>
      <c r="AN397" s="58"/>
      <c r="AO397" s="55" t="s">
        <v>101</v>
      </c>
      <c r="AP397" s="61"/>
      <c r="AQ397" s="338"/>
      <c r="AR397" s="55" t="s">
        <v>100</v>
      </c>
      <c r="AS397" s="58"/>
      <c r="AT397" s="55" t="s">
        <v>101</v>
      </c>
      <c r="AU397" s="61"/>
    </row>
    <row r="398" spans="1:47" ht="16.5" customHeight="1">
      <c r="A398" s="329"/>
      <c r="B398" s="330"/>
      <c r="C398" s="16" t="s">
        <v>43</v>
      </c>
      <c r="D398" s="21"/>
      <c r="E398" s="189" t="s">
        <v>293</v>
      </c>
      <c r="F398" s="190"/>
      <c r="G398" s="162"/>
      <c r="H398" s="187"/>
      <c r="I398" s="163"/>
      <c r="J398" s="163"/>
      <c r="K398" s="30" t="s">
        <v>64</v>
      </c>
      <c r="L398" s="24"/>
      <c r="M398" s="35"/>
      <c r="N398" s="36"/>
      <c r="O398" s="30" t="s">
        <v>64</v>
      </c>
      <c r="P398" s="24"/>
      <c r="Q398" s="35"/>
      <c r="R398" s="36"/>
      <c r="S398" s="30" t="s">
        <v>64</v>
      </c>
      <c r="T398" s="24"/>
      <c r="U398" s="35"/>
      <c r="V398" s="39"/>
      <c r="W398" s="156"/>
      <c r="X398" s="157"/>
      <c r="Y398" s="165"/>
      <c r="Z398" s="165"/>
      <c r="AA398" s="166"/>
      <c r="AB398" s="167"/>
      <c r="AC398" s="168"/>
      <c r="AD398" s="169"/>
      <c r="AE398" s="170"/>
      <c r="AF398" s="170"/>
      <c r="AG398" s="170"/>
      <c r="AH398" s="171"/>
      <c r="AI398" s="168"/>
      <c r="AJ398" s="169"/>
      <c r="AK398" s="171"/>
      <c r="AL398" s="175"/>
      <c r="AM398" s="158"/>
      <c r="AN398" s="158"/>
      <c r="AO398" s="158"/>
      <c r="AP398" s="159"/>
      <c r="AQ398" s="175"/>
      <c r="AR398" s="158"/>
      <c r="AS398" s="158"/>
      <c r="AT398" s="158"/>
      <c r="AU398" s="159"/>
    </row>
    <row r="399" spans="1:47" ht="16.5" customHeight="1"/>
    <row r="400" spans="1:47" ht="16.5" customHeight="1">
      <c r="A400" s="329">
        <v>34</v>
      </c>
      <c r="B400" s="330"/>
      <c r="C400" s="14" t="s">
        <v>45</v>
      </c>
      <c r="D400" s="52"/>
      <c r="E400" s="14" t="s">
        <v>46</v>
      </c>
      <c r="F400" s="17"/>
      <c r="G400" s="149">
        <v>6</v>
      </c>
      <c r="H400" s="181"/>
      <c r="I400" s="10"/>
      <c r="J400" s="26"/>
      <c r="K400" s="14" t="s">
        <v>54</v>
      </c>
      <c r="L400" s="9"/>
      <c r="M400" s="31"/>
      <c r="N400" s="32"/>
      <c r="O400" s="14" t="s">
        <v>54</v>
      </c>
      <c r="P400" s="9"/>
      <c r="Q400" s="31"/>
      <c r="R400" s="32"/>
      <c r="S400" s="14" t="s">
        <v>54</v>
      </c>
      <c r="T400" s="9"/>
      <c r="U400" s="31"/>
      <c r="V400" s="37"/>
      <c r="W400" s="353"/>
      <c r="X400" s="354"/>
      <c r="Y400" s="354"/>
      <c r="Z400" s="354"/>
      <c r="AA400" s="354"/>
      <c r="AB400" s="355"/>
      <c r="AC400" s="353"/>
      <c r="AD400" s="354"/>
      <c r="AE400" s="354"/>
      <c r="AF400" s="354"/>
      <c r="AG400" s="354"/>
      <c r="AH400" s="355"/>
      <c r="AI400" s="353">
        <v>6</v>
      </c>
      <c r="AJ400" s="354"/>
      <c r="AK400" s="355"/>
      <c r="AL400" s="336">
        <v>1</v>
      </c>
      <c r="AM400" s="53" t="s">
        <v>0</v>
      </c>
      <c r="AN400" s="339"/>
      <c r="AO400" s="340"/>
      <c r="AP400" s="341"/>
      <c r="AQ400" s="336">
        <v>3</v>
      </c>
      <c r="AR400" s="53" t="s">
        <v>0</v>
      </c>
      <c r="AS400" s="339"/>
      <c r="AT400" s="340"/>
      <c r="AU400" s="341"/>
    </row>
    <row r="401" spans="1:47" ht="16.5" customHeight="1">
      <c r="A401" s="329"/>
      <c r="B401" s="330"/>
      <c r="C401" s="15" t="s">
        <v>36</v>
      </c>
      <c r="D401" s="19"/>
      <c r="E401" s="15" t="s">
        <v>73</v>
      </c>
      <c r="F401" s="18"/>
      <c r="G401" s="150">
        <v>7</v>
      </c>
      <c r="H401" s="182"/>
      <c r="I401" s="12"/>
      <c r="J401" s="27"/>
      <c r="K401" s="15" t="s">
        <v>55</v>
      </c>
      <c r="L401" s="11"/>
      <c r="M401" s="33"/>
      <c r="N401" s="34"/>
      <c r="O401" s="15" t="s">
        <v>55</v>
      </c>
      <c r="P401" s="11"/>
      <c r="Q401" s="33"/>
      <c r="R401" s="34"/>
      <c r="S401" s="15" t="s">
        <v>55</v>
      </c>
      <c r="T401" s="11"/>
      <c r="U401" s="33"/>
      <c r="V401" s="38"/>
      <c r="W401" s="346"/>
      <c r="X401" s="342"/>
      <c r="Y401" s="342"/>
      <c r="Z401" s="342"/>
      <c r="AA401" s="342"/>
      <c r="AB401" s="344"/>
      <c r="AC401" s="346"/>
      <c r="AD401" s="342"/>
      <c r="AE401" s="342"/>
      <c r="AF401" s="342"/>
      <c r="AG401" s="342"/>
      <c r="AH401" s="344"/>
      <c r="AI401" s="346"/>
      <c r="AJ401" s="342"/>
      <c r="AK401" s="344"/>
      <c r="AL401" s="337"/>
      <c r="AM401" s="54" t="s">
        <v>97</v>
      </c>
      <c r="AN401" s="176"/>
      <c r="AO401" s="54" t="s">
        <v>212</v>
      </c>
      <c r="AP401" s="178"/>
      <c r="AQ401" s="337"/>
      <c r="AR401" s="54" t="s">
        <v>97</v>
      </c>
      <c r="AS401" s="176"/>
      <c r="AT401" s="179" t="s">
        <v>212</v>
      </c>
      <c r="AU401" s="177"/>
    </row>
    <row r="402" spans="1:47" ht="16.5" customHeight="1">
      <c r="A402" s="329"/>
      <c r="B402" s="330"/>
      <c r="C402" s="15" t="s">
        <v>37</v>
      </c>
      <c r="D402" s="20"/>
      <c r="E402" s="15" t="s">
        <v>47</v>
      </c>
      <c r="F402" s="18"/>
      <c r="G402" s="150">
        <v>8</v>
      </c>
      <c r="H402" s="183"/>
      <c r="I402" s="13"/>
      <c r="J402" s="28"/>
      <c r="K402" s="15" t="s">
        <v>56</v>
      </c>
      <c r="L402" s="11"/>
      <c r="M402" s="33"/>
      <c r="N402" s="34"/>
      <c r="O402" s="15" t="s">
        <v>56</v>
      </c>
      <c r="P402" s="11"/>
      <c r="Q402" s="33"/>
      <c r="R402" s="34"/>
      <c r="S402" s="15" t="s">
        <v>56</v>
      </c>
      <c r="T402" s="11"/>
      <c r="U402" s="33"/>
      <c r="V402" s="38"/>
      <c r="W402" s="346"/>
      <c r="X402" s="342"/>
      <c r="Y402" s="342"/>
      <c r="Z402" s="342"/>
      <c r="AA402" s="342"/>
      <c r="AB402" s="344"/>
      <c r="AC402" s="346"/>
      <c r="AD402" s="342"/>
      <c r="AE402" s="342"/>
      <c r="AF402" s="342"/>
      <c r="AG402" s="342"/>
      <c r="AH402" s="344"/>
      <c r="AI402" s="346"/>
      <c r="AJ402" s="342"/>
      <c r="AK402" s="344"/>
      <c r="AL402" s="337"/>
      <c r="AM402" s="54" t="s">
        <v>98</v>
      </c>
      <c r="AN402" s="56"/>
      <c r="AO402" s="54" t="s">
        <v>13</v>
      </c>
      <c r="AP402" s="59"/>
      <c r="AQ402" s="337"/>
      <c r="AR402" s="54" t="s">
        <v>98</v>
      </c>
      <c r="AS402" s="56"/>
      <c r="AT402" s="54" t="s">
        <v>13</v>
      </c>
      <c r="AU402" s="59"/>
    </row>
    <row r="403" spans="1:47" ht="16.5" customHeight="1">
      <c r="A403" s="329"/>
      <c r="B403" s="330"/>
      <c r="C403" s="15" t="s">
        <v>44</v>
      </c>
      <c r="D403" s="19"/>
      <c r="E403" s="15" t="s">
        <v>65</v>
      </c>
      <c r="F403" s="18"/>
      <c r="G403" s="153"/>
      <c r="H403" s="184"/>
      <c r="I403" s="23"/>
      <c r="J403" s="23"/>
      <c r="K403" s="15" t="s">
        <v>57</v>
      </c>
      <c r="L403" s="11"/>
      <c r="M403" s="33"/>
      <c r="N403" s="34"/>
      <c r="O403" s="15" t="s">
        <v>57</v>
      </c>
      <c r="P403" s="11"/>
      <c r="Q403" s="33"/>
      <c r="R403" s="34"/>
      <c r="S403" s="15" t="s">
        <v>57</v>
      </c>
      <c r="T403" s="11"/>
      <c r="U403" s="33"/>
      <c r="V403" s="38"/>
      <c r="W403" s="346"/>
      <c r="X403" s="342"/>
      <c r="Y403" s="342"/>
      <c r="Z403" s="342"/>
      <c r="AA403" s="342"/>
      <c r="AB403" s="344"/>
      <c r="AC403" s="346"/>
      <c r="AD403" s="342"/>
      <c r="AE403" s="342"/>
      <c r="AF403" s="342"/>
      <c r="AG403" s="342"/>
      <c r="AH403" s="344"/>
      <c r="AI403" s="346">
        <v>7</v>
      </c>
      <c r="AJ403" s="342"/>
      <c r="AK403" s="344"/>
      <c r="AL403" s="337"/>
      <c r="AM403" s="54" t="s">
        <v>99</v>
      </c>
      <c r="AN403" s="57"/>
      <c r="AO403" s="54" t="s">
        <v>13</v>
      </c>
      <c r="AP403" s="60"/>
      <c r="AQ403" s="337"/>
      <c r="AR403" s="54" t="s">
        <v>99</v>
      </c>
      <c r="AS403" s="57"/>
      <c r="AT403" s="54" t="s">
        <v>13</v>
      </c>
      <c r="AU403" s="60"/>
    </row>
    <row r="404" spans="1:47" ht="16.5" customHeight="1">
      <c r="A404" s="329"/>
      <c r="B404" s="330"/>
      <c r="C404" s="15" t="s">
        <v>229</v>
      </c>
      <c r="D404" s="4"/>
      <c r="E404" s="15" t="s">
        <v>48</v>
      </c>
      <c r="F404" s="18"/>
      <c r="G404" s="331" t="s">
        <v>12</v>
      </c>
      <c r="H404" s="332"/>
      <c r="I404" s="332"/>
      <c r="J404" s="332"/>
      <c r="K404" s="15" t="s">
        <v>58</v>
      </c>
      <c r="L404" s="11"/>
      <c r="M404" s="33"/>
      <c r="N404" s="34"/>
      <c r="O404" s="15" t="s">
        <v>58</v>
      </c>
      <c r="P404" s="11"/>
      <c r="Q404" s="33"/>
      <c r="R404" s="34"/>
      <c r="S404" s="15" t="s">
        <v>58</v>
      </c>
      <c r="T404" s="11"/>
      <c r="U404" s="33"/>
      <c r="V404" s="38"/>
      <c r="W404" s="346"/>
      <c r="X404" s="342"/>
      <c r="Y404" s="342"/>
      <c r="Z404" s="342"/>
      <c r="AA404" s="342"/>
      <c r="AB404" s="344"/>
      <c r="AC404" s="346"/>
      <c r="AD404" s="342"/>
      <c r="AE404" s="342"/>
      <c r="AF404" s="342"/>
      <c r="AG404" s="342"/>
      <c r="AH404" s="344"/>
      <c r="AI404" s="346"/>
      <c r="AJ404" s="342"/>
      <c r="AK404" s="344"/>
      <c r="AL404" s="338"/>
      <c r="AM404" s="55" t="s">
        <v>100</v>
      </c>
      <c r="AN404" s="58"/>
      <c r="AO404" s="55" t="s">
        <v>101</v>
      </c>
      <c r="AP404" s="61"/>
      <c r="AQ404" s="338"/>
      <c r="AR404" s="55" t="s">
        <v>100</v>
      </c>
      <c r="AS404" s="58"/>
      <c r="AT404" s="55" t="s">
        <v>101</v>
      </c>
      <c r="AU404" s="61"/>
    </row>
    <row r="405" spans="1:47" ht="16.5" customHeight="1">
      <c r="A405" s="329"/>
      <c r="B405" s="330"/>
      <c r="C405" s="15" t="s">
        <v>38</v>
      </c>
      <c r="D405" s="19"/>
      <c r="E405" s="15" t="s">
        <v>49</v>
      </c>
      <c r="F405" s="18"/>
      <c r="G405" s="8" t="s">
        <v>13</v>
      </c>
      <c r="H405" s="180" t="s">
        <v>14</v>
      </c>
      <c r="I405" s="6" t="s">
        <v>15</v>
      </c>
      <c r="J405" s="6" t="s">
        <v>16</v>
      </c>
      <c r="K405" s="15" t="s">
        <v>59</v>
      </c>
      <c r="L405" s="11"/>
      <c r="M405" s="33"/>
      <c r="N405" s="34"/>
      <c r="O405" s="15" t="s">
        <v>59</v>
      </c>
      <c r="P405" s="11"/>
      <c r="Q405" s="33"/>
      <c r="R405" s="34"/>
      <c r="S405" s="15" t="s">
        <v>59</v>
      </c>
      <c r="T405" s="11"/>
      <c r="U405" s="33"/>
      <c r="V405" s="38"/>
      <c r="W405" s="346"/>
      <c r="X405" s="342"/>
      <c r="Y405" s="342"/>
      <c r="Z405" s="342"/>
      <c r="AA405" s="342"/>
      <c r="AB405" s="344"/>
      <c r="AC405" s="346"/>
      <c r="AD405" s="342"/>
      <c r="AE405" s="342"/>
      <c r="AF405" s="342"/>
      <c r="AG405" s="342"/>
      <c r="AH405" s="344"/>
      <c r="AI405" s="346"/>
      <c r="AJ405" s="342"/>
      <c r="AK405" s="344"/>
      <c r="AL405" s="336">
        <v>2</v>
      </c>
      <c r="AM405" s="53" t="s">
        <v>0</v>
      </c>
      <c r="AN405" s="339"/>
      <c r="AO405" s="340"/>
      <c r="AP405" s="341"/>
      <c r="AQ405" s="336">
        <v>4</v>
      </c>
      <c r="AR405" s="53" t="s">
        <v>0</v>
      </c>
      <c r="AS405" s="339"/>
      <c r="AT405" s="340"/>
      <c r="AU405" s="341"/>
    </row>
    <row r="406" spans="1:47" ht="16.5" customHeight="1">
      <c r="A406" s="329"/>
      <c r="B406" s="330"/>
      <c r="C406" s="15" t="s">
        <v>39</v>
      </c>
      <c r="D406" s="19"/>
      <c r="E406" s="15" t="s">
        <v>50</v>
      </c>
      <c r="F406" s="18"/>
      <c r="G406" s="154">
        <v>6</v>
      </c>
      <c r="H406" s="181"/>
      <c r="I406" s="10"/>
      <c r="J406" s="26"/>
      <c r="K406" s="15" t="s">
        <v>60</v>
      </c>
      <c r="L406" s="11"/>
      <c r="M406" s="33"/>
      <c r="N406" s="34"/>
      <c r="O406" s="15" t="s">
        <v>60</v>
      </c>
      <c r="P406" s="11"/>
      <c r="Q406" s="33"/>
      <c r="R406" s="34"/>
      <c r="S406" s="15" t="s">
        <v>60</v>
      </c>
      <c r="T406" s="11"/>
      <c r="U406" s="33"/>
      <c r="V406" s="38"/>
      <c r="W406" s="346"/>
      <c r="X406" s="342"/>
      <c r="Y406" s="342"/>
      <c r="Z406" s="342"/>
      <c r="AA406" s="342"/>
      <c r="AB406" s="344"/>
      <c r="AC406" s="346"/>
      <c r="AD406" s="342"/>
      <c r="AE406" s="342"/>
      <c r="AF406" s="342"/>
      <c r="AG406" s="342"/>
      <c r="AH406" s="344"/>
      <c r="AI406" s="346">
        <v>8</v>
      </c>
      <c r="AJ406" s="342"/>
      <c r="AK406" s="344"/>
      <c r="AL406" s="337"/>
      <c r="AM406" s="54" t="s">
        <v>97</v>
      </c>
      <c r="AN406" s="176"/>
      <c r="AO406" s="179" t="s">
        <v>212</v>
      </c>
      <c r="AP406" s="177"/>
      <c r="AQ406" s="337"/>
      <c r="AR406" s="54" t="s">
        <v>97</v>
      </c>
      <c r="AS406" s="176"/>
      <c r="AT406" s="179" t="s">
        <v>212</v>
      </c>
      <c r="AU406" s="177"/>
    </row>
    <row r="407" spans="1:47" ht="16.5" customHeight="1">
      <c r="A407" s="329"/>
      <c r="B407" s="330"/>
      <c r="C407" s="15" t="s">
        <v>40</v>
      </c>
      <c r="D407" s="19"/>
      <c r="E407" s="15" t="s">
        <v>51</v>
      </c>
      <c r="F407" s="18"/>
      <c r="G407" s="155">
        <v>7</v>
      </c>
      <c r="H407" s="182"/>
      <c r="I407" s="12"/>
      <c r="J407" s="27"/>
      <c r="K407" s="15" t="s">
        <v>61</v>
      </c>
      <c r="L407" s="11"/>
      <c r="M407" s="33"/>
      <c r="N407" s="34"/>
      <c r="O407" s="15" t="s">
        <v>61</v>
      </c>
      <c r="P407" s="11"/>
      <c r="Q407" s="33"/>
      <c r="R407" s="34"/>
      <c r="S407" s="15" t="s">
        <v>61</v>
      </c>
      <c r="T407" s="11"/>
      <c r="U407" s="33"/>
      <c r="V407" s="38"/>
      <c r="W407" s="346"/>
      <c r="X407" s="342"/>
      <c r="Y407" s="342"/>
      <c r="Z407" s="342"/>
      <c r="AA407" s="342"/>
      <c r="AB407" s="344"/>
      <c r="AC407" s="346"/>
      <c r="AD407" s="342"/>
      <c r="AE407" s="342"/>
      <c r="AF407" s="342"/>
      <c r="AG407" s="342"/>
      <c r="AH407" s="344"/>
      <c r="AI407" s="346"/>
      <c r="AJ407" s="342"/>
      <c r="AK407" s="344"/>
      <c r="AL407" s="337"/>
      <c r="AM407" s="54" t="s">
        <v>98</v>
      </c>
      <c r="AN407" s="56"/>
      <c r="AO407" s="54" t="s">
        <v>13</v>
      </c>
      <c r="AP407" s="59"/>
      <c r="AQ407" s="337"/>
      <c r="AR407" s="54" t="s">
        <v>98</v>
      </c>
      <c r="AS407" s="56"/>
      <c r="AT407" s="54" t="s">
        <v>13</v>
      </c>
      <c r="AU407" s="59"/>
    </row>
    <row r="408" spans="1:47" ht="16.5" customHeight="1">
      <c r="A408" s="329"/>
      <c r="B408" s="330"/>
      <c r="C408" s="15" t="s">
        <v>41</v>
      </c>
      <c r="D408" s="19"/>
      <c r="E408" s="15" t="s">
        <v>52</v>
      </c>
      <c r="F408" s="18"/>
      <c r="G408" s="155">
        <v>8</v>
      </c>
      <c r="H408" s="185"/>
      <c r="I408" s="25"/>
      <c r="J408" s="29"/>
      <c r="K408" s="15" t="s">
        <v>62</v>
      </c>
      <c r="L408" s="11"/>
      <c r="M408" s="33"/>
      <c r="N408" s="34"/>
      <c r="O408" s="15" t="s">
        <v>62</v>
      </c>
      <c r="P408" s="11"/>
      <c r="Q408" s="33"/>
      <c r="R408" s="34"/>
      <c r="S408" s="15" t="s">
        <v>62</v>
      </c>
      <c r="T408" s="11"/>
      <c r="U408" s="33"/>
      <c r="V408" s="38"/>
      <c r="W408" s="346"/>
      <c r="X408" s="342"/>
      <c r="Y408" s="342"/>
      <c r="Z408" s="342"/>
      <c r="AA408" s="342"/>
      <c r="AB408" s="344"/>
      <c r="AC408" s="346"/>
      <c r="AD408" s="342"/>
      <c r="AE408" s="342"/>
      <c r="AF408" s="342"/>
      <c r="AG408" s="342"/>
      <c r="AH408" s="344"/>
      <c r="AI408" s="356"/>
      <c r="AJ408" s="343"/>
      <c r="AK408" s="345"/>
      <c r="AL408" s="337"/>
      <c r="AM408" s="54" t="s">
        <v>99</v>
      </c>
      <c r="AN408" s="57"/>
      <c r="AO408" s="54" t="s">
        <v>13</v>
      </c>
      <c r="AP408" s="60"/>
      <c r="AQ408" s="337"/>
      <c r="AR408" s="54" t="s">
        <v>99</v>
      </c>
      <c r="AS408" s="57"/>
      <c r="AT408" s="54" t="s">
        <v>13</v>
      </c>
      <c r="AU408" s="60"/>
    </row>
    <row r="409" spans="1:47" ht="16.5" customHeight="1">
      <c r="A409" s="329"/>
      <c r="B409" s="330"/>
      <c r="C409" s="15" t="s">
        <v>42</v>
      </c>
      <c r="D409" s="19"/>
      <c r="E409" s="16" t="s">
        <v>53</v>
      </c>
      <c r="F409" s="22"/>
      <c r="G409" s="160"/>
      <c r="H409" s="186"/>
      <c r="I409" s="161"/>
      <c r="J409" s="161"/>
      <c r="K409" s="15" t="s">
        <v>63</v>
      </c>
      <c r="L409" s="11"/>
      <c r="M409" s="33"/>
      <c r="N409" s="34"/>
      <c r="O409" s="15" t="s">
        <v>63</v>
      </c>
      <c r="P409" s="11"/>
      <c r="Q409" s="33"/>
      <c r="R409" s="34"/>
      <c r="S409" s="15" t="s">
        <v>63</v>
      </c>
      <c r="T409" s="11"/>
      <c r="U409" s="33"/>
      <c r="V409" s="38"/>
      <c r="W409" s="356"/>
      <c r="X409" s="343"/>
      <c r="Y409" s="343"/>
      <c r="Z409" s="343"/>
      <c r="AA409" s="343"/>
      <c r="AB409" s="345"/>
      <c r="AC409" s="356"/>
      <c r="AD409" s="343"/>
      <c r="AE409" s="343"/>
      <c r="AF409" s="343"/>
      <c r="AG409" s="343"/>
      <c r="AH409" s="345"/>
      <c r="AI409" s="172"/>
      <c r="AJ409" s="173"/>
      <c r="AK409" s="174"/>
      <c r="AL409" s="338"/>
      <c r="AM409" s="55" t="s">
        <v>100</v>
      </c>
      <c r="AN409" s="58"/>
      <c r="AO409" s="55" t="s">
        <v>101</v>
      </c>
      <c r="AP409" s="61"/>
      <c r="AQ409" s="338"/>
      <c r="AR409" s="55" t="s">
        <v>100</v>
      </c>
      <c r="AS409" s="58"/>
      <c r="AT409" s="55" t="s">
        <v>101</v>
      </c>
      <c r="AU409" s="61"/>
    </row>
    <row r="410" spans="1:47" ht="16.5" customHeight="1">
      <c r="A410" s="329"/>
      <c r="B410" s="330"/>
      <c r="C410" s="16" t="s">
        <v>43</v>
      </c>
      <c r="D410" s="21"/>
      <c r="E410" s="189" t="s">
        <v>293</v>
      </c>
      <c r="F410" s="190"/>
      <c r="G410" s="162"/>
      <c r="H410" s="187"/>
      <c r="I410" s="163"/>
      <c r="J410" s="163"/>
      <c r="K410" s="30" t="s">
        <v>64</v>
      </c>
      <c r="L410" s="24"/>
      <c r="M410" s="35"/>
      <c r="N410" s="36"/>
      <c r="O410" s="30" t="s">
        <v>64</v>
      </c>
      <c r="P410" s="24"/>
      <c r="Q410" s="35"/>
      <c r="R410" s="36"/>
      <c r="S410" s="30" t="s">
        <v>64</v>
      </c>
      <c r="T410" s="24"/>
      <c r="U410" s="35"/>
      <c r="V410" s="39"/>
      <c r="W410" s="156"/>
      <c r="X410" s="157"/>
      <c r="Y410" s="165"/>
      <c r="Z410" s="165"/>
      <c r="AA410" s="166"/>
      <c r="AB410" s="167"/>
      <c r="AC410" s="168"/>
      <c r="AD410" s="169"/>
      <c r="AE410" s="170"/>
      <c r="AF410" s="170"/>
      <c r="AG410" s="170"/>
      <c r="AH410" s="171"/>
      <c r="AI410" s="168"/>
      <c r="AJ410" s="169"/>
      <c r="AK410" s="171"/>
      <c r="AL410" s="175"/>
      <c r="AM410" s="158"/>
      <c r="AN410" s="158"/>
      <c r="AO410" s="158"/>
      <c r="AP410" s="159"/>
      <c r="AQ410" s="175"/>
      <c r="AR410" s="158"/>
      <c r="AS410" s="158"/>
      <c r="AT410" s="158"/>
      <c r="AU410" s="159"/>
    </row>
    <row r="411" spans="1:47" ht="16.5" customHeight="1"/>
    <row r="412" spans="1:47" ht="16.5" customHeight="1">
      <c r="A412" s="329">
        <v>35</v>
      </c>
      <c r="B412" s="330"/>
      <c r="C412" s="14" t="s">
        <v>45</v>
      </c>
      <c r="D412" s="52"/>
      <c r="E412" s="14" t="s">
        <v>46</v>
      </c>
      <c r="F412" s="17"/>
      <c r="G412" s="149">
        <v>6</v>
      </c>
      <c r="H412" s="181"/>
      <c r="I412" s="10"/>
      <c r="J412" s="26"/>
      <c r="K412" s="14" t="s">
        <v>54</v>
      </c>
      <c r="L412" s="9"/>
      <c r="M412" s="31"/>
      <c r="N412" s="32"/>
      <c r="O412" s="14" t="s">
        <v>54</v>
      </c>
      <c r="P412" s="9"/>
      <c r="Q412" s="31"/>
      <c r="R412" s="32"/>
      <c r="S412" s="14" t="s">
        <v>54</v>
      </c>
      <c r="T412" s="9"/>
      <c r="U412" s="31"/>
      <c r="V412" s="37"/>
      <c r="W412" s="353"/>
      <c r="X412" s="354"/>
      <c r="Y412" s="354"/>
      <c r="Z412" s="354"/>
      <c r="AA412" s="354"/>
      <c r="AB412" s="355"/>
      <c r="AC412" s="353"/>
      <c r="AD412" s="354"/>
      <c r="AE412" s="354"/>
      <c r="AF412" s="354"/>
      <c r="AG412" s="354"/>
      <c r="AH412" s="355"/>
      <c r="AI412" s="353">
        <v>6</v>
      </c>
      <c r="AJ412" s="354"/>
      <c r="AK412" s="355"/>
      <c r="AL412" s="336">
        <v>1</v>
      </c>
      <c r="AM412" s="53" t="s">
        <v>0</v>
      </c>
      <c r="AN412" s="339"/>
      <c r="AO412" s="340"/>
      <c r="AP412" s="341"/>
      <c r="AQ412" s="336">
        <v>3</v>
      </c>
      <c r="AR412" s="53" t="s">
        <v>0</v>
      </c>
      <c r="AS412" s="339"/>
      <c r="AT412" s="340"/>
      <c r="AU412" s="341"/>
    </row>
    <row r="413" spans="1:47" ht="16.5" customHeight="1">
      <c r="A413" s="329"/>
      <c r="B413" s="330"/>
      <c r="C413" s="15" t="s">
        <v>36</v>
      </c>
      <c r="D413" s="19"/>
      <c r="E413" s="15" t="s">
        <v>73</v>
      </c>
      <c r="F413" s="18"/>
      <c r="G413" s="150">
        <v>7</v>
      </c>
      <c r="H413" s="182"/>
      <c r="I413" s="12"/>
      <c r="J413" s="27"/>
      <c r="K413" s="15" t="s">
        <v>55</v>
      </c>
      <c r="L413" s="11"/>
      <c r="M413" s="33"/>
      <c r="N413" s="34"/>
      <c r="O413" s="15" t="s">
        <v>55</v>
      </c>
      <c r="P413" s="11"/>
      <c r="Q413" s="33"/>
      <c r="R413" s="34"/>
      <c r="S413" s="15" t="s">
        <v>55</v>
      </c>
      <c r="T413" s="11"/>
      <c r="U413" s="33"/>
      <c r="V413" s="38"/>
      <c r="W413" s="346"/>
      <c r="X413" s="342"/>
      <c r="Y413" s="342"/>
      <c r="Z413" s="342"/>
      <c r="AA413" s="342"/>
      <c r="AB413" s="344"/>
      <c r="AC413" s="346"/>
      <c r="AD413" s="342"/>
      <c r="AE413" s="342"/>
      <c r="AF413" s="342"/>
      <c r="AG413" s="342"/>
      <c r="AH413" s="344"/>
      <c r="AI413" s="346"/>
      <c r="AJ413" s="342"/>
      <c r="AK413" s="344"/>
      <c r="AL413" s="337"/>
      <c r="AM413" s="54" t="s">
        <v>97</v>
      </c>
      <c r="AN413" s="176"/>
      <c r="AO413" s="54" t="s">
        <v>212</v>
      </c>
      <c r="AP413" s="178"/>
      <c r="AQ413" s="337"/>
      <c r="AR413" s="54" t="s">
        <v>97</v>
      </c>
      <c r="AS413" s="176"/>
      <c r="AT413" s="179" t="s">
        <v>212</v>
      </c>
      <c r="AU413" s="177"/>
    </row>
    <row r="414" spans="1:47" ht="16.5" customHeight="1">
      <c r="A414" s="329"/>
      <c r="B414" s="330"/>
      <c r="C414" s="15" t="s">
        <v>37</v>
      </c>
      <c r="D414" s="20"/>
      <c r="E414" s="15" t="s">
        <v>47</v>
      </c>
      <c r="F414" s="18"/>
      <c r="G414" s="150">
        <v>8</v>
      </c>
      <c r="H414" s="183"/>
      <c r="I414" s="13"/>
      <c r="J414" s="28"/>
      <c r="K414" s="15" t="s">
        <v>56</v>
      </c>
      <c r="L414" s="11"/>
      <c r="M414" s="33"/>
      <c r="N414" s="34"/>
      <c r="O414" s="15" t="s">
        <v>56</v>
      </c>
      <c r="P414" s="11"/>
      <c r="Q414" s="33"/>
      <c r="R414" s="34"/>
      <c r="S414" s="15" t="s">
        <v>56</v>
      </c>
      <c r="T414" s="11"/>
      <c r="U414" s="33"/>
      <c r="V414" s="38"/>
      <c r="W414" s="346"/>
      <c r="X414" s="342"/>
      <c r="Y414" s="342"/>
      <c r="Z414" s="342"/>
      <c r="AA414" s="342"/>
      <c r="AB414" s="344"/>
      <c r="AC414" s="346"/>
      <c r="AD414" s="342"/>
      <c r="AE414" s="342"/>
      <c r="AF414" s="342"/>
      <c r="AG414" s="342"/>
      <c r="AH414" s="344"/>
      <c r="AI414" s="346"/>
      <c r="AJ414" s="342"/>
      <c r="AK414" s="344"/>
      <c r="AL414" s="337"/>
      <c r="AM414" s="54" t="s">
        <v>98</v>
      </c>
      <c r="AN414" s="56"/>
      <c r="AO414" s="54" t="s">
        <v>13</v>
      </c>
      <c r="AP414" s="59"/>
      <c r="AQ414" s="337"/>
      <c r="AR414" s="54" t="s">
        <v>98</v>
      </c>
      <c r="AS414" s="56"/>
      <c r="AT414" s="54" t="s">
        <v>13</v>
      </c>
      <c r="AU414" s="59"/>
    </row>
    <row r="415" spans="1:47" ht="16.5" customHeight="1">
      <c r="A415" s="329"/>
      <c r="B415" s="330"/>
      <c r="C415" s="15" t="s">
        <v>44</v>
      </c>
      <c r="D415" s="19"/>
      <c r="E415" s="15" t="s">
        <v>65</v>
      </c>
      <c r="F415" s="18"/>
      <c r="G415" s="153"/>
      <c r="H415" s="184"/>
      <c r="I415" s="23"/>
      <c r="J415" s="23"/>
      <c r="K415" s="15" t="s">
        <v>57</v>
      </c>
      <c r="L415" s="11"/>
      <c r="M415" s="33"/>
      <c r="N415" s="34"/>
      <c r="O415" s="15" t="s">
        <v>57</v>
      </c>
      <c r="P415" s="11"/>
      <c r="Q415" s="33"/>
      <c r="R415" s="34"/>
      <c r="S415" s="15" t="s">
        <v>57</v>
      </c>
      <c r="T415" s="11"/>
      <c r="U415" s="33"/>
      <c r="V415" s="38"/>
      <c r="W415" s="346"/>
      <c r="X415" s="342"/>
      <c r="Y415" s="342"/>
      <c r="Z415" s="342"/>
      <c r="AA415" s="342"/>
      <c r="AB415" s="344"/>
      <c r="AC415" s="346"/>
      <c r="AD415" s="342"/>
      <c r="AE415" s="342"/>
      <c r="AF415" s="342"/>
      <c r="AG415" s="342"/>
      <c r="AH415" s="344"/>
      <c r="AI415" s="346">
        <v>7</v>
      </c>
      <c r="AJ415" s="342"/>
      <c r="AK415" s="344"/>
      <c r="AL415" s="337"/>
      <c r="AM415" s="54" t="s">
        <v>99</v>
      </c>
      <c r="AN415" s="57"/>
      <c r="AO415" s="54" t="s">
        <v>13</v>
      </c>
      <c r="AP415" s="60"/>
      <c r="AQ415" s="337"/>
      <c r="AR415" s="54" t="s">
        <v>99</v>
      </c>
      <c r="AS415" s="57"/>
      <c r="AT415" s="54" t="s">
        <v>13</v>
      </c>
      <c r="AU415" s="60"/>
    </row>
    <row r="416" spans="1:47" ht="16.5" customHeight="1">
      <c r="A416" s="329"/>
      <c r="B416" s="330"/>
      <c r="C416" s="15" t="s">
        <v>229</v>
      </c>
      <c r="D416" s="4"/>
      <c r="E416" s="15" t="s">
        <v>48</v>
      </c>
      <c r="F416" s="18"/>
      <c r="G416" s="331" t="s">
        <v>12</v>
      </c>
      <c r="H416" s="332"/>
      <c r="I416" s="332"/>
      <c r="J416" s="332"/>
      <c r="K416" s="15" t="s">
        <v>58</v>
      </c>
      <c r="L416" s="11"/>
      <c r="M416" s="33"/>
      <c r="N416" s="34"/>
      <c r="O416" s="15" t="s">
        <v>58</v>
      </c>
      <c r="P416" s="11"/>
      <c r="Q416" s="33"/>
      <c r="R416" s="34"/>
      <c r="S416" s="15" t="s">
        <v>58</v>
      </c>
      <c r="T416" s="11"/>
      <c r="U416" s="33"/>
      <c r="V416" s="38"/>
      <c r="W416" s="346"/>
      <c r="X416" s="342"/>
      <c r="Y416" s="342"/>
      <c r="Z416" s="342"/>
      <c r="AA416" s="342"/>
      <c r="AB416" s="344"/>
      <c r="AC416" s="346"/>
      <c r="AD416" s="342"/>
      <c r="AE416" s="342"/>
      <c r="AF416" s="342"/>
      <c r="AG416" s="342"/>
      <c r="AH416" s="344"/>
      <c r="AI416" s="346"/>
      <c r="AJ416" s="342"/>
      <c r="AK416" s="344"/>
      <c r="AL416" s="338"/>
      <c r="AM416" s="55" t="s">
        <v>100</v>
      </c>
      <c r="AN416" s="58"/>
      <c r="AO416" s="55" t="s">
        <v>101</v>
      </c>
      <c r="AP416" s="61"/>
      <c r="AQ416" s="338"/>
      <c r="AR416" s="55" t="s">
        <v>100</v>
      </c>
      <c r="AS416" s="58"/>
      <c r="AT416" s="55" t="s">
        <v>101</v>
      </c>
      <c r="AU416" s="61"/>
    </row>
    <row r="417" spans="1:47" ht="16.5" customHeight="1">
      <c r="A417" s="329"/>
      <c r="B417" s="330"/>
      <c r="C417" s="15" t="s">
        <v>38</v>
      </c>
      <c r="D417" s="19"/>
      <c r="E417" s="15" t="s">
        <v>49</v>
      </c>
      <c r="F417" s="18"/>
      <c r="G417" s="8" t="s">
        <v>13</v>
      </c>
      <c r="H417" s="180" t="s">
        <v>14</v>
      </c>
      <c r="I417" s="6" t="s">
        <v>15</v>
      </c>
      <c r="J417" s="6" t="s">
        <v>16</v>
      </c>
      <c r="K417" s="15" t="s">
        <v>59</v>
      </c>
      <c r="L417" s="11"/>
      <c r="M417" s="33"/>
      <c r="N417" s="34"/>
      <c r="O417" s="15" t="s">
        <v>59</v>
      </c>
      <c r="P417" s="11"/>
      <c r="Q417" s="33"/>
      <c r="R417" s="34"/>
      <c r="S417" s="15" t="s">
        <v>59</v>
      </c>
      <c r="T417" s="11"/>
      <c r="U417" s="33"/>
      <c r="V417" s="38"/>
      <c r="W417" s="346"/>
      <c r="X417" s="342"/>
      <c r="Y417" s="342"/>
      <c r="Z417" s="342"/>
      <c r="AA417" s="342"/>
      <c r="AB417" s="344"/>
      <c r="AC417" s="346"/>
      <c r="AD417" s="342"/>
      <c r="AE417" s="342"/>
      <c r="AF417" s="342"/>
      <c r="AG417" s="342"/>
      <c r="AH417" s="344"/>
      <c r="AI417" s="346"/>
      <c r="AJ417" s="342"/>
      <c r="AK417" s="344"/>
      <c r="AL417" s="336">
        <v>2</v>
      </c>
      <c r="AM417" s="53" t="s">
        <v>0</v>
      </c>
      <c r="AN417" s="339"/>
      <c r="AO417" s="340"/>
      <c r="AP417" s="341"/>
      <c r="AQ417" s="336">
        <v>4</v>
      </c>
      <c r="AR417" s="53" t="s">
        <v>0</v>
      </c>
      <c r="AS417" s="339"/>
      <c r="AT417" s="340"/>
      <c r="AU417" s="341"/>
    </row>
    <row r="418" spans="1:47" ht="16.5" customHeight="1">
      <c r="A418" s="329"/>
      <c r="B418" s="330"/>
      <c r="C418" s="15" t="s">
        <v>39</v>
      </c>
      <c r="D418" s="19"/>
      <c r="E418" s="15" t="s">
        <v>50</v>
      </c>
      <c r="F418" s="18"/>
      <c r="G418" s="154">
        <v>6</v>
      </c>
      <c r="H418" s="181"/>
      <c r="I418" s="10"/>
      <c r="J418" s="26"/>
      <c r="K418" s="15" t="s">
        <v>60</v>
      </c>
      <c r="L418" s="11"/>
      <c r="M418" s="33"/>
      <c r="N418" s="34"/>
      <c r="O418" s="15" t="s">
        <v>60</v>
      </c>
      <c r="P418" s="11"/>
      <c r="Q418" s="33"/>
      <c r="R418" s="34"/>
      <c r="S418" s="15" t="s">
        <v>60</v>
      </c>
      <c r="T418" s="11"/>
      <c r="U418" s="33"/>
      <c r="V418" s="38"/>
      <c r="W418" s="346"/>
      <c r="X418" s="342"/>
      <c r="Y418" s="342"/>
      <c r="Z418" s="342"/>
      <c r="AA418" s="342"/>
      <c r="AB418" s="344"/>
      <c r="AC418" s="346"/>
      <c r="AD418" s="342"/>
      <c r="AE418" s="342"/>
      <c r="AF418" s="342"/>
      <c r="AG418" s="342"/>
      <c r="AH418" s="344"/>
      <c r="AI418" s="346">
        <v>8</v>
      </c>
      <c r="AJ418" s="342"/>
      <c r="AK418" s="344"/>
      <c r="AL418" s="337"/>
      <c r="AM418" s="54" t="s">
        <v>97</v>
      </c>
      <c r="AN418" s="176"/>
      <c r="AO418" s="179" t="s">
        <v>212</v>
      </c>
      <c r="AP418" s="177"/>
      <c r="AQ418" s="337"/>
      <c r="AR418" s="54" t="s">
        <v>97</v>
      </c>
      <c r="AS418" s="176"/>
      <c r="AT418" s="179" t="s">
        <v>212</v>
      </c>
      <c r="AU418" s="177"/>
    </row>
    <row r="419" spans="1:47" ht="16.5" customHeight="1">
      <c r="A419" s="329"/>
      <c r="B419" s="330"/>
      <c r="C419" s="15" t="s">
        <v>40</v>
      </c>
      <c r="D419" s="19"/>
      <c r="E419" s="15" t="s">
        <v>51</v>
      </c>
      <c r="F419" s="18"/>
      <c r="G419" s="155">
        <v>7</v>
      </c>
      <c r="H419" s="182"/>
      <c r="I419" s="12"/>
      <c r="J419" s="27"/>
      <c r="K419" s="15" t="s">
        <v>61</v>
      </c>
      <c r="L419" s="11"/>
      <c r="M419" s="33"/>
      <c r="N419" s="34"/>
      <c r="O419" s="15" t="s">
        <v>61</v>
      </c>
      <c r="P419" s="11"/>
      <c r="Q419" s="33"/>
      <c r="R419" s="34"/>
      <c r="S419" s="15" t="s">
        <v>61</v>
      </c>
      <c r="T419" s="11"/>
      <c r="U419" s="33"/>
      <c r="V419" s="38"/>
      <c r="W419" s="346"/>
      <c r="X419" s="342"/>
      <c r="Y419" s="342"/>
      <c r="Z419" s="342"/>
      <c r="AA419" s="342"/>
      <c r="AB419" s="344"/>
      <c r="AC419" s="346"/>
      <c r="AD419" s="342"/>
      <c r="AE419" s="342"/>
      <c r="AF419" s="342"/>
      <c r="AG419" s="342"/>
      <c r="AH419" s="344"/>
      <c r="AI419" s="346"/>
      <c r="AJ419" s="342"/>
      <c r="AK419" s="344"/>
      <c r="AL419" s="337"/>
      <c r="AM419" s="54" t="s">
        <v>98</v>
      </c>
      <c r="AN419" s="56"/>
      <c r="AO419" s="54" t="s">
        <v>13</v>
      </c>
      <c r="AP419" s="59"/>
      <c r="AQ419" s="337"/>
      <c r="AR419" s="54" t="s">
        <v>98</v>
      </c>
      <c r="AS419" s="56"/>
      <c r="AT419" s="54" t="s">
        <v>13</v>
      </c>
      <c r="AU419" s="59"/>
    </row>
    <row r="420" spans="1:47" ht="16.5" customHeight="1">
      <c r="A420" s="329"/>
      <c r="B420" s="330"/>
      <c r="C420" s="15" t="s">
        <v>41</v>
      </c>
      <c r="D420" s="19"/>
      <c r="E420" s="15" t="s">
        <v>52</v>
      </c>
      <c r="F420" s="18"/>
      <c r="G420" s="155">
        <v>8</v>
      </c>
      <c r="H420" s="185"/>
      <c r="I420" s="25"/>
      <c r="J420" s="29"/>
      <c r="K420" s="15" t="s">
        <v>62</v>
      </c>
      <c r="L420" s="11"/>
      <c r="M420" s="33"/>
      <c r="N420" s="34"/>
      <c r="O420" s="15" t="s">
        <v>62</v>
      </c>
      <c r="P420" s="11"/>
      <c r="Q420" s="33"/>
      <c r="R420" s="34"/>
      <c r="S420" s="15" t="s">
        <v>62</v>
      </c>
      <c r="T420" s="11"/>
      <c r="U420" s="33"/>
      <c r="V420" s="38"/>
      <c r="W420" s="346"/>
      <c r="X420" s="342"/>
      <c r="Y420" s="342"/>
      <c r="Z420" s="342"/>
      <c r="AA420" s="342"/>
      <c r="AB420" s="344"/>
      <c r="AC420" s="346"/>
      <c r="AD420" s="342"/>
      <c r="AE420" s="342"/>
      <c r="AF420" s="342"/>
      <c r="AG420" s="342"/>
      <c r="AH420" s="344"/>
      <c r="AI420" s="356"/>
      <c r="AJ420" s="343"/>
      <c r="AK420" s="345"/>
      <c r="AL420" s="337"/>
      <c r="AM420" s="54" t="s">
        <v>99</v>
      </c>
      <c r="AN420" s="57"/>
      <c r="AO420" s="54" t="s">
        <v>13</v>
      </c>
      <c r="AP420" s="60"/>
      <c r="AQ420" s="337"/>
      <c r="AR420" s="54" t="s">
        <v>99</v>
      </c>
      <c r="AS420" s="57"/>
      <c r="AT420" s="54" t="s">
        <v>13</v>
      </c>
      <c r="AU420" s="60"/>
    </row>
    <row r="421" spans="1:47" ht="16.5" customHeight="1">
      <c r="A421" s="329"/>
      <c r="B421" s="330"/>
      <c r="C421" s="15" t="s">
        <v>42</v>
      </c>
      <c r="D421" s="19"/>
      <c r="E421" s="16" t="s">
        <v>53</v>
      </c>
      <c r="F421" s="22"/>
      <c r="G421" s="160"/>
      <c r="H421" s="186"/>
      <c r="I421" s="161"/>
      <c r="J421" s="161"/>
      <c r="K421" s="15" t="s">
        <v>63</v>
      </c>
      <c r="L421" s="11"/>
      <c r="M421" s="33"/>
      <c r="N421" s="34"/>
      <c r="O421" s="15" t="s">
        <v>63</v>
      </c>
      <c r="P421" s="11"/>
      <c r="Q421" s="33"/>
      <c r="R421" s="34"/>
      <c r="S421" s="15" t="s">
        <v>63</v>
      </c>
      <c r="T421" s="11"/>
      <c r="U421" s="33"/>
      <c r="V421" s="38"/>
      <c r="W421" s="356"/>
      <c r="X421" s="343"/>
      <c r="Y421" s="343"/>
      <c r="Z421" s="343"/>
      <c r="AA421" s="343"/>
      <c r="AB421" s="345"/>
      <c r="AC421" s="356"/>
      <c r="AD421" s="343"/>
      <c r="AE421" s="343"/>
      <c r="AF421" s="343"/>
      <c r="AG421" s="343"/>
      <c r="AH421" s="345"/>
      <c r="AI421" s="172"/>
      <c r="AJ421" s="173"/>
      <c r="AK421" s="174"/>
      <c r="AL421" s="338"/>
      <c r="AM421" s="55" t="s">
        <v>100</v>
      </c>
      <c r="AN421" s="58"/>
      <c r="AO421" s="55" t="s">
        <v>101</v>
      </c>
      <c r="AP421" s="61"/>
      <c r="AQ421" s="338"/>
      <c r="AR421" s="55" t="s">
        <v>100</v>
      </c>
      <c r="AS421" s="58"/>
      <c r="AT421" s="55" t="s">
        <v>101</v>
      </c>
      <c r="AU421" s="61"/>
    </row>
    <row r="422" spans="1:47" ht="16.5" customHeight="1">
      <c r="A422" s="329"/>
      <c r="B422" s="330"/>
      <c r="C422" s="16" t="s">
        <v>43</v>
      </c>
      <c r="D422" s="21"/>
      <c r="E422" s="189" t="s">
        <v>293</v>
      </c>
      <c r="F422" s="190"/>
      <c r="G422" s="162"/>
      <c r="H422" s="187"/>
      <c r="I422" s="163"/>
      <c r="J422" s="163"/>
      <c r="K422" s="30" t="s">
        <v>64</v>
      </c>
      <c r="L422" s="24"/>
      <c r="M422" s="35"/>
      <c r="N422" s="36"/>
      <c r="O422" s="30" t="s">
        <v>64</v>
      </c>
      <c r="P422" s="24"/>
      <c r="Q422" s="35"/>
      <c r="R422" s="36"/>
      <c r="S422" s="30" t="s">
        <v>64</v>
      </c>
      <c r="T422" s="24"/>
      <c r="U422" s="35"/>
      <c r="V422" s="39"/>
      <c r="W422" s="156"/>
      <c r="X422" s="157"/>
      <c r="Y422" s="165"/>
      <c r="Z422" s="165"/>
      <c r="AA422" s="166"/>
      <c r="AB422" s="167"/>
      <c r="AC422" s="168"/>
      <c r="AD422" s="169"/>
      <c r="AE422" s="170"/>
      <c r="AF422" s="170"/>
      <c r="AG422" s="170"/>
      <c r="AH422" s="171"/>
      <c r="AI422" s="168"/>
      <c r="AJ422" s="169"/>
      <c r="AK422" s="171"/>
      <c r="AL422" s="175"/>
      <c r="AM422" s="158"/>
      <c r="AN422" s="158"/>
      <c r="AO422" s="158"/>
      <c r="AP422" s="159"/>
      <c r="AQ422" s="175"/>
      <c r="AR422" s="158"/>
      <c r="AS422" s="158"/>
      <c r="AT422" s="158"/>
      <c r="AU422" s="159"/>
    </row>
    <row r="423" spans="1:47" ht="16.5" customHeight="1"/>
  </sheetData>
  <sheetProtection password="CCF1" sheet="1"/>
  <mergeCells count="2815">
    <mergeCell ref="AQ412:AQ416"/>
    <mergeCell ref="AS412:AU412"/>
    <mergeCell ref="AQ417:AQ421"/>
    <mergeCell ref="AS417:AU417"/>
    <mergeCell ref="AQ400:AQ404"/>
    <mergeCell ref="AS400:AU400"/>
    <mergeCell ref="AQ405:AQ409"/>
    <mergeCell ref="AS405:AU405"/>
    <mergeCell ref="AQ388:AQ392"/>
    <mergeCell ref="AS388:AU388"/>
    <mergeCell ref="AQ393:AQ397"/>
    <mergeCell ref="AS393:AU393"/>
    <mergeCell ref="AQ376:AQ380"/>
    <mergeCell ref="AS376:AU376"/>
    <mergeCell ref="AQ381:AQ385"/>
    <mergeCell ref="AS381:AU381"/>
    <mergeCell ref="AQ364:AQ368"/>
    <mergeCell ref="AS364:AU364"/>
    <mergeCell ref="AQ369:AQ373"/>
    <mergeCell ref="AS369:AU369"/>
    <mergeCell ref="AQ352:AQ356"/>
    <mergeCell ref="AS352:AU352"/>
    <mergeCell ref="AQ357:AQ361"/>
    <mergeCell ref="AS357:AU357"/>
    <mergeCell ref="AQ340:AQ344"/>
    <mergeCell ref="AS340:AU340"/>
    <mergeCell ref="AQ345:AQ349"/>
    <mergeCell ref="AS345:AU345"/>
    <mergeCell ref="AQ328:AQ332"/>
    <mergeCell ref="AS328:AU328"/>
    <mergeCell ref="AQ333:AQ337"/>
    <mergeCell ref="AS333:AU333"/>
    <mergeCell ref="AQ316:AQ320"/>
    <mergeCell ref="AS316:AU316"/>
    <mergeCell ref="AQ321:AQ325"/>
    <mergeCell ref="AS321:AU321"/>
    <mergeCell ref="AQ304:AQ308"/>
    <mergeCell ref="AS304:AU304"/>
    <mergeCell ref="AQ309:AQ313"/>
    <mergeCell ref="AS309:AU309"/>
    <mergeCell ref="AQ292:AQ296"/>
    <mergeCell ref="AS292:AU292"/>
    <mergeCell ref="AQ297:AQ301"/>
    <mergeCell ref="AS297:AU297"/>
    <mergeCell ref="AQ280:AQ284"/>
    <mergeCell ref="AS280:AU280"/>
    <mergeCell ref="AQ285:AQ289"/>
    <mergeCell ref="AS285:AU285"/>
    <mergeCell ref="AQ268:AQ272"/>
    <mergeCell ref="AS268:AU268"/>
    <mergeCell ref="AQ273:AQ277"/>
    <mergeCell ref="AS273:AU273"/>
    <mergeCell ref="AQ256:AQ260"/>
    <mergeCell ref="AS256:AU256"/>
    <mergeCell ref="AQ261:AQ265"/>
    <mergeCell ref="AS261:AU261"/>
    <mergeCell ref="AQ244:AQ248"/>
    <mergeCell ref="AS244:AU244"/>
    <mergeCell ref="AQ249:AQ253"/>
    <mergeCell ref="AS249:AU249"/>
    <mergeCell ref="AQ232:AQ236"/>
    <mergeCell ref="AS232:AU232"/>
    <mergeCell ref="AQ237:AQ241"/>
    <mergeCell ref="AS237:AU237"/>
    <mergeCell ref="AQ220:AQ224"/>
    <mergeCell ref="AS220:AU220"/>
    <mergeCell ref="AQ225:AQ229"/>
    <mergeCell ref="AS225:AU225"/>
    <mergeCell ref="AQ208:AQ212"/>
    <mergeCell ref="AS208:AU208"/>
    <mergeCell ref="AQ213:AQ217"/>
    <mergeCell ref="AS213:AU213"/>
    <mergeCell ref="AQ196:AQ200"/>
    <mergeCell ref="AS196:AU196"/>
    <mergeCell ref="AQ201:AQ205"/>
    <mergeCell ref="AS201:AU201"/>
    <mergeCell ref="AQ184:AQ188"/>
    <mergeCell ref="AS184:AU184"/>
    <mergeCell ref="AQ189:AQ193"/>
    <mergeCell ref="AS189:AU189"/>
    <mergeCell ref="AQ172:AQ176"/>
    <mergeCell ref="AS172:AU172"/>
    <mergeCell ref="AQ177:AQ181"/>
    <mergeCell ref="AS177:AU177"/>
    <mergeCell ref="AQ160:AQ164"/>
    <mergeCell ref="AS160:AU160"/>
    <mergeCell ref="AQ165:AQ169"/>
    <mergeCell ref="AS165:AU165"/>
    <mergeCell ref="AQ148:AQ152"/>
    <mergeCell ref="AS148:AU148"/>
    <mergeCell ref="AQ153:AQ157"/>
    <mergeCell ref="AS153:AU153"/>
    <mergeCell ref="AQ136:AQ140"/>
    <mergeCell ref="AS136:AU136"/>
    <mergeCell ref="AQ141:AQ145"/>
    <mergeCell ref="AS141:AU141"/>
    <mergeCell ref="AQ124:AQ128"/>
    <mergeCell ref="AS124:AU124"/>
    <mergeCell ref="AQ129:AQ133"/>
    <mergeCell ref="AS129:AU129"/>
    <mergeCell ref="AQ112:AQ116"/>
    <mergeCell ref="AS112:AU112"/>
    <mergeCell ref="AQ117:AQ121"/>
    <mergeCell ref="AS117:AU117"/>
    <mergeCell ref="AQ100:AQ104"/>
    <mergeCell ref="AS100:AU100"/>
    <mergeCell ref="AQ105:AQ109"/>
    <mergeCell ref="AS105:AU105"/>
    <mergeCell ref="AQ88:AQ92"/>
    <mergeCell ref="AS88:AU88"/>
    <mergeCell ref="AQ93:AQ97"/>
    <mergeCell ref="AS93:AU93"/>
    <mergeCell ref="AQ76:AQ80"/>
    <mergeCell ref="AS76:AU76"/>
    <mergeCell ref="AQ81:AQ85"/>
    <mergeCell ref="AS81:AU81"/>
    <mergeCell ref="AQ64:AQ68"/>
    <mergeCell ref="AS64:AU64"/>
    <mergeCell ref="AQ69:AQ73"/>
    <mergeCell ref="AS69:AU69"/>
    <mergeCell ref="AQ57:AQ61"/>
    <mergeCell ref="AS57:AU57"/>
    <mergeCell ref="AQ40:AQ44"/>
    <mergeCell ref="AS40:AU40"/>
    <mergeCell ref="AQ45:AQ49"/>
    <mergeCell ref="AS45:AU45"/>
    <mergeCell ref="AS33:AU33"/>
    <mergeCell ref="AQ16:AQ20"/>
    <mergeCell ref="AS16:AU16"/>
    <mergeCell ref="AQ21:AQ25"/>
    <mergeCell ref="AS21:AU21"/>
    <mergeCell ref="AQ52:AQ56"/>
    <mergeCell ref="AS52:AU52"/>
    <mergeCell ref="AQ2:AU3"/>
    <mergeCell ref="AQ4:AQ8"/>
    <mergeCell ref="AS4:AU4"/>
    <mergeCell ref="AQ9:AQ13"/>
    <mergeCell ref="AS9:AU9"/>
    <mergeCell ref="AI412:AI414"/>
    <mergeCell ref="AJ412:AJ414"/>
    <mergeCell ref="AQ28:AQ32"/>
    <mergeCell ref="AS28:AU28"/>
    <mergeCell ref="AQ33:AQ37"/>
    <mergeCell ref="AI406:AI408"/>
    <mergeCell ref="AJ406:AJ408"/>
    <mergeCell ref="AK406:AK408"/>
    <mergeCell ref="AI418:AI420"/>
    <mergeCell ref="AJ418:AJ420"/>
    <mergeCell ref="AK418:AK420"/>
    <mergeCell ref="AI400:AI402"/>
    <mergeCell ref="AJ400:AJ402"/>
    <mergeCell ref="AK400:AK402"/>
    <mergeCell ref="AK412:AK414"/>
    <mergeCell ref="AI415:AI417"/>
    <mergeCell ref="AJ415:AJ417"/>
    <mergeCell ref="AK415:AK417"/>
    <mergeCell ref="AI403:AI405"/>
    <mergeCell ref="AJ403:AJ405"/>
    <mergeCell ref="AK403:AK405"/>
    <mergeCell ref="AI391:AI393"/>
    <mergeCell ref="AJ391:AJ393"/>
    <mergeCell ref="AK391:AK393"/>
    <mergeCell ref="AI394:AI396"/>
    <mergeCell ref="AJ394:AJ396"/>
    <mergeCell ref="AK394:AK396"/>
    <mergeCell ref="AI382:AI384"/>
    <mergeCell ref="AJ382:AJ384"/>
    <mergeCell ref="AK382:AK384"/>
    <mergeCell ref="AI388:AI390"/>
    <mergeCell ref="AJ388:AJ390"/>
    <mergeCell ref="AK388:AK390"/>
    <mergeCell ref="AI376:AI378"/>
    <mergeCell ref="AJ376:AJ378"/>
    <mergeCell ref="AK376:AK378"/>
    <mergeCell ref="AI379:AI381"/>
    <mergeCell ref="AJ379:AJ381"/>
    <mergeCell ref="AK379:AK381"/>
    <mergeCell ref="AI367:AI369"/>
    <mergeCell ref="AJ367:AJ369"/>
    <mergeCell ref="AK367:AK369"/>
    <mergeCell ref="AI370:AI372"/>
    <mergeCell ref="AJ370:AJ372"/>
    <mergeCell ref="AK370:AK372"/>
    <mergeCell ref="AI358:AI360"/>
    <mergeCell ref="AJ358:AJ360"/>
    <mergeCell ref="AK358:AK360"/>
    <mergeCell ref="AI364:AI366"/>
    <mergeCell ref="AJ364:AJ366"/>
    <mergeCell ref="AK364:AK366"/>
    <mergeCell ref="AI352:AI354"/>
    <mergeCell ref="AJ352:AJ354"/>
    <mergeCell ref="AK352:AK354"/>
    <mergeCell ref="AI355:AI357"/>
    <mergeCell ref="AJ355:AJ357"/>
    <mergeCell ref="AK355:AK357"/>
    <mergeCell ref="AI343:AI345"/>
    <mergeCell ref="AJ343:AJ345"/>
    <mergeCell ref="AK343:AK345"/>
    <mergeCell ref="AI346:AI348"/>
    <mergeCell ref="AJ346:AJ348"/>
    <mergeCell ref="AK346:AK348"/>
    <mergeCell ref="AI334:AI336"/>
    <mergeCell ref="AJ334:AJ336"/>
    <mergeCell ref="AK334:AK336"/>
    <mergeCell ref="AI340:AI342"/>
    <mergeCell ref="AJ340:AJ342"/>
    <mergeCell ref="AK340:AK342"/>
    <mergeCell ref="AI328:AI330"/>
    <mergeCell ref="AJ328:AJ330"/>
    <mergeCell ref="AK328:AK330"/>
    <mergeCell ref="AI331:AI333"/>
    <mergeCell ref="AJ331:AJ333"/>
    <mergeCell ref="AK331:AK333"/>
    <mergeCell ref="AI319:AI321"/>
    <mergeCell ref="AJ319:AJ321"/>
    <mergeCell ref="AK319:AK321"/>
    <mergeCell ref="AI322:AI324"/>
    <mergeCell ref="AJ322:AJ324"/>
    <mergeCell ref="AK322:AK324"/>
    <mergeCell ref="AI310:AI312"/>
    <mergeCell ref="AJ310:AJ312"/>
    <mergeCell ref="AK310:AK312"/>
    <mergeCell ref="AI316:AI318"/>
    <mergeCell ref="AJ316:AJ318"/>
    <mergeCell ref="AK316:AK318"/>
    <mergeCell ref="AI304:AI306"/>
    <mergeCell ref="AJ304:AJ306"/>
    <mergeCell ref="AK304:AK306"/>
    <mergeCell ref="AI307:AI309"/>
    <mergeCell ref="AJ307:AJ309"/>
    <mergeCell ref="AK307:AK309"/>
    <mergeCell ref="AI295:AI297"/>
    <mergeCell ref="AJ295:AJ297"/>
    <mergeCell ref="AK295:AK297"/>
    <mergeCell ref="AI298:AI300"/>
    <mergeCell ref="AJ298:AJ300"/>
    <mergeCell ref="AK298:AK300"/>
    <mergeCell ref="AI286:AI288"/>
    <mergeCell ref="AJ286:AJ288"/>
    <mergeCell ref="AK286:AK288"/>
    <mergeCell ref="AI292:AI294"/>
    <mergeCell ref="AJ292:AJ294"/>
    <mergeCell ref="AK292:AK294"/>
    <mergeCell ref="AI280:AI282"/>
    <mergeCell ref="AJ280:AJ282"/>
    <mergeCell ref="AK280:AK282"/>
    <mergeCell ref="AI283:AI285"/>
    <mergeCell ref="AJ283:AJ285"/>
    <mergeCell ref="AK283:AK285"/>
    <mergeCell ref="AI271:AI273"/>
    <mergeCell ref="AJ271:AJ273"/>
    <mergeCell ref="AK271:AK273"/>
    <mergeCell ref="AI274:AI276"/>
    <mergeCell ref="AJ274:AJ276"/>
    <mergeCell ref="AK274:AK276"/>
    <mergeCell ref="AI262:AI264"/>
    <mergeCell ref="AJ262:AJ264"/>
    <mergeCell ref="AK262:AK264"/>
    <mergeCell ref="AI268:AI270"/>
    <mergeCell ref="AJ268:AJ270"/>
    <mergeCell ref="AK268:AK270"/>
    <mergeCell ref="AI256:AI258"/>
    <mergeCell ref="AJ256:AJ258"/>
    <mergeCell ref="AK256:AK258"/>
    <mergeCell ref="AI259:AI261"/>
    <mergeCell ref="AJ259:AJ261"/>
    <mergeCell ref="AK259:AK261"/>
    <mergeCell ref="AI247:AI249"/>
    <mergeCell ref="AJ247:AJ249"/>
    <mergeCell ref="AK247:AK249"/>
    <mergeCell ref="AI250:AI252"/>
    <mergeCell ref="AJ250:AJ252"/>
    <mergeCell ref="AK250:AK252"/>
    <mergeCell ref="AI238:AI240"/>
    <mergeCell ref="AJ238:AJ240"/>
    <mergeCell ref="AK238:AK240"/>
    <mergeCell ref="AI244:AI246"/>
    <mergeCell ref="AJ244:AJ246"/>
    <mergeCell ref="AK244:AK246"/>
    <mergeCell ref="AI232:AI234"/>
    <mergeCell ref="AJ232:AJ234"/>
    <mergeCell ref="AK232:AK234"/>
    <mergeCell ref="AI235:AI237"/>
    <mergeCell ref="AJ235:AJ237"/>
    <mergeCell ref="AK235:AK237"/>
    <mergeCell ref="AI223:AI225"/>
    <mergeCell ref="AJ223:AJ225"/>
    <mergeCell ref="AK223:AK225"/>
    <mergeCell ref="AI226:AI228"/>
    <mergeCell ref="AJ226:AJ228"/>
    <mergeCell ref="AK226:AK228"/>
    <mergeCell ref="AI214:AI216"/>
    <mergeCell ref="AJ214:AJ216"/>
    <mergeCell ref="AK214:AK216"/>
    <mergeCell ref="AI220:AI222"/>
    <mergeCell ref="AJ220:AJ222"/>
    <mergeCell ref="AK220:AK222"/>
    <mergeCell ref="AI208:AI210"/>
    <mergeCell ref="AJ208:AJ210"/>
    <mergeCell ref="AK208:AK210"/>
    <mergeCell ref="AI211:AI213"/>
    <mergeCell ref="AJ211:AJ213"/>
    <mergeCell ref="AK211:AK213"/>
    <mergeCell ref="AI199:AI201"/>
    <mergeCell ref="AJ199:AJ201"/>
    <mergeCell ref="AK199:AK201"/>
    <mergeCell ref="AI202:AI204"/>
    <mergeCell ref="AJ202:AJ204"/>
    <mergeCell ref="AK202:AK204"/>
    <mergeCell ref="AI190:AI192"/>
    <mergeCell ref="AJ190:AJ192"/>
    <mergeCell ref="AK190:AK192"/>
    <mergeCell ref="AI196:AI198"/>
    <mergeCell ref="AJ196:AJ198"/>
    <mergeCell ref="AK196:AK198"/>
    <mergeCell ref="AI184:AI186"/>
    <mergeCell ref="AJ184:AJ186"/>
    <mergeCell ref="AK184:AK186"/>
    <mergeCell ref="AI187:AI189"/>
    <mergeCell ref="AJ187:AJ189"/>
    <mergeCell ref="AK187:AK189"/>
    <mergeCell ref="AI175:AI177"/>
    <mergeCell ref="AJ175:AJ177"/>
    <mergeCell ref="AK175:AK177"/>
    <mergeCell ref="AI178:AI180"/>
    <mergeCell ref="AJ178:AJ180"/>
    <mergeCell ref="AK178:AK180"/>
    <mergeCell ref="AI166:AI168"/>
    <mergeCell ref="AJ166:AJ168"/>
    <mergeCell ref="AK166:AK168"/>
    <mergeCell ref="AI172:AI174"/>
    <mergeCell ref="AJ172:AJ174"/>
    <mergeCell ref="AK172:AK174"/>
    <mergeCell ref="AI160:AI162"/>
    <mergeCell ref="AJ160:AJ162"/>
    <mergeCell ref="AK160:AK162"/>
    <mergeCell ref="AI163:AI165"/>
    <mergeCell ref="AJ163:AJ165"/>
    <mergeCell ref="AK163:AK165"/>
    <mergeCell ref="AI151:AI153"/>
    <mergeCell ref="AJ151:AJ153"/>
    <mergeCell ref="AK151:AK153"/>
    <mergeCell ref="AI154:AI156"/>
    <mergeCell ref="AJ154:AJ156"/>
    <mergeCell ref="AK154:AK156"/>
    <mergeCell ref="AI142:AI144"/>
    <mergeCell ref="AJ142:AJ144"/>
    <mergeCell ref="AK142:AK144"/>
    <mergeCell ref="AI148:AI150"/>
    <mergeCell ref="AJ148:AJ150"/>
    <mergeCell ref="AK148:AK150"/>
    <mergeCell ref="AI136:AI138"/>
    <mergeCell ref="AJ136:AJ138"/>
    <mergeCell ref="AK136:AK138"/>
    <mergeCell ref="AI139:AI141"/>
    <mergeCell ref="AJ139:AJ141"/>
    <mergeCell ref="AK139:AK141"/>
    <mergeCell ref="AI127:AI129"/>
    <mergeCell ref="AJ127:AJ129"/>
    <mergeCell ref="AK127:AK129"/>
    <mergeCell ref="AI130:AI132"/>
    <mergeCell ref="AJ130:AJ132"/>
    <mergeCell ref="AK130:AK132"/>
    <mergeCell ref="AI118:AI120"/>
    <mergeCell ref="AJ118:AJ120"/>
    <mergeCell ref="AK118:AK120"/>
    <mergeCell ref="AI124:AI126"/>
    <mergeCell ref="AJ124:AJ126"/>
    <mergeCell ref="AK124:AK126"/>
    <mergeCell ref="AI112:AI114"/>
    <mergeCell ref="AJ112:AJ114"/>
    <mergeCell ref="AK112:AK114"/>
    <mergeCell ref="AI115:AI117"/>
    <mergeCell ref="AJ115:AJ117"/>
    <mergeCell ref="AK115:AK117"/>
    <mergeCell ref="AI103:AI105"/>
    <mergeCell ref="AJ103:AJ105"/>
    <mergeCell ref="AK103:AK105"/>
    <mergeCell ref="AI106:AI108"/>
    <mergeCell ref="AJ106:AJ108"/>
    <mergeCell ref="AK106:AK108"/>
    <mergeCell ref="AI94:AI96"/>
    <mergeCell ref="AJ94:AJ96"/>
    <mergeCell ref="AK94:AK96"/>
    <mergeCell ref="AI100:AI102"/>
    <mergeCell ref="AJ100:AJ102"/>
    <mergeCell ref="AK100:AK102"/>
    <mergeCell ref="AI88:AI90"/>
    <mergeCell ref="AJ88:AJ90"/>
    <mergeCell ref="AK88:AK90"/>
    <mergeCell ref="AI91:AI93"/>
    <mergeCell ref="AJ91:AJ93"/>
    <mergeCell ref="AK91:AK93"/>
    <mergeCell ref="AI79:AI81"/>
    <mergeCell ref="AJ79:AJ81"/>
    <mergeCell ref="AK79:AK81"/>
    <mergeCell ref="AI82:AI84"/>
    <mergeCell ref="AJ82:AJ84"/>
    <mergeCell ref="AK82:AK84"/>
    <mergeCell ref="AI70:AI72"/>
    <mergeCell ref="AJ70:AJ72"/>
    <mergeCell ref="AK70:AK72"/>
    <mergeCell ref="AI76:AI78"/>
    <mergeCell ref="AJ76:AJ78"/>
    <mergeCell ref="AK76:AK78"/>
    <mergeCell ref="AI64:AI66"/>
    <mergeCell ref="AJ64:AJ66"/>
    <mergeCell ref="AK64:AK66"/>
    <mergeCell ref="AI67:AI69"/>
    <mergeCell ref="AJ67:AJ69"/>
    <mergeCell ref="AK67:AK69"/>
    <mergeCell ref="AJ52:AJ54"/>
    <mergeCell ref="AK52:AK54"/>
    <mergeCell ref="AI55:AI57"/>
    <mergeCell ref="AJ55:AJ57"/>
    <mergeCell ref="AK55:AK57"/>
    <mergeCell ref="AI58:AI60"/>
    <mergeCell ref="AJ58:AJ60"/>
    <mergeCell ref="AK58:AK60"/>
    <mergeCell ref="AJ40:AJ42"/>
    <mergeCell ref="AK40:AK42"/>
    <mergeCell ref="AI43:AI45"/>
    <mergeCell ref="AJ43:AJ45"/>
    <mergeCell ref="AK43:AK45"/>
    <mergeCell ref="AI46:AI48"/>
    <mergeCell ref="AJ46:AJ48"/>
    <mergeCell ref="AK46:AK48"/>
    <mergeCell ref="AJ28:AJ30"/>
    <mergeCell ref="AK28:AK30"/>
    <mergeCell ref="AI31:AI33"/>
    <mergeCell ref="AJ31:AJ33"/>
    <mergeCell ref="AK31:AK33"/>
    <mergeCell ref="AI34:AI36"/>
    <mergeCell ref="AJ34:AJ36"/>
    <mergeCell ref="AK34:AK36"/>
    <mergeCell ref="AJ16:AJ18"/>
    <mergeCell ref="AK16:AK18"/>
    <mergeCell ref="AI19:AI21"/>
    <mergeCell ref="AJ19:AJ21"/>
    <mergeCell ref="AK19:AK21"/>
    <mergeCell ref="AI22:AI24"/>
    <mergeCell ref="AJ22:AJ24"/>
    <mergeCell ref="AK22:AK24"/>
    <mergeCell ref="AJ4:AJ6"/>
    <mergeCell ref="AK4:AK6"/>
    <mergeCell ref="AI7:AI9"/>
    <mergeCell ref="AJ7:AJ9"/>
    <mergeCell ref="AK7:AK9"/>
    <mergeCell ref="AI10:AI12"/>
    <mergeCell ref="AJ10:AJ12"/>
    <mergeCell ref="AK10:AK12"/>
    <mergeCell ref="AD420:AD421"/>
    <mergeCell ref="AE420:AE421"/>
    <mergeCell ref="AF420:AF421"/>
    <mergeCell ref="AG420:AG421"/>
    <mergeCell ref="AH420:AH421"/>
    <mergeCell ref="AI4:AI6"/>
    <mergeCell ref="AI16:AI18"/>
    <mergeCell ref="AI28:AI30"/>
    <mergeCell ref="AI40:AI42"/>
    <mergeCell ref="AI52:AI54"/>
    <mergeCell ref="AF418:AF419"/>
    <mergeCell ref="AG418:AG419"/>
    <mergeCell ref="AH418:AH419"/>
    <mergeCell ref="W420:W421"/>
    <mergeCell ref="X420:X421"/>
    <mergeCell ref="Y420:Y421"/>
    <mergeCell ref="Z420:Z421"/>
    <mergeCell ref="AA420:AA421"/>
    <mergeCell ref="AB420:AB421"/>
    <mergeCell ref="AC420:AC421"/>
    <mergeCell ref="AH416:AH417"/>
    <mergeCell ref="W418:W419"/>
    <mergeCell ref="X418:X419"/>
    <mergeCell ref="Y418:Y419"/>
    <mergeCell ref="Z418:Z419"/>
    <mergeCell ref="AA418:AA419"/>
    <mergeCell ref="AB418:AB419"/>
    <mergeCell ref="AC418:AC419"/>
    <mergeCell ref="AD418:AD419"/>
    <mergeCell ref="AE418:AE419"/>
    <mergeCell ref="AB416:AB417"/>
    <mergeCell ref="AC416:AC417"/>
    <mergeCell ref="AD416:AD417"/>
    <mergeCell ref="AE416:AE417"/>
    <mergeCell ref="AF416:AF417"/>
    <mergeCell ref="AG416:AG417"/>
    <mergeCell ref="AD414:AD415"/>
    <mergeCell ref="AE414:AE415"/>
    <mergeCell ref="AF414:AF415"/>
    <mergeCell ref="AG414:AG415"/>
    <mergeCell ref="AH414:AH415"/>
    <mergeCell ref="W416:W417"/>
    <mergeCell ref="X416:X417"/>
    <mergeCell ref="Y416:Y417"/>
    <mergeCell ref="Z416:Z417"/>
    <mergeCell ref="AA416:AA417"/>
    <mergeCell ref="AD412:AD413"/>
    <mergeCell ref="AE412:AE413"/>
    <mergeCell ref="AH412:AH413"/>
    <mergeCell ref="W414:W415"/>
    <mergeCell ref="X414:X415"/>
    <mergeCell ref="Y414:Y415"/>
    <mergeCell ref="Z414:Z415"/>
    <mergeCell ref="AA414:AA415"/>
    <mergeCell ref="AB414:AB415"/>
    <mergeCell ref="AC414:AC415"/>
    <mergeCell ref="AD408:AD409"/>
    <mergeCell ref="AE408:AE409"/>
    <mergeCell ref="AF408:AF409"/>
    <mergeCell ref="AG408:AG409"/>
    <mergeCell ref="AH408:AH409"/>
    <mergeCell ref="Y412:Y413"/>
    <mergeCell ref="Z412:Z413"/>
    <mergeCell ref="AA412:AA413"/>
    <mergeCell ref="AB412:AB413"/>
    <mergeCell ref="AC412:AC413"/>
    <mergeCell ref="AF406:AF407"/>
    <mergeCell ref="AG406:AG407"/>
    <mergeCell ref="AH406:AH407"/>
    <mergeCell ref="W408:W409"/>
    <mergeCell ref="X408:X409"/>
    <mergeCell ref="Y408:Y409"/>
    <mergeCell ref="Z408:Z409"/>
    <mergeCell ref="AA408:AA409"/>
    <mergeCell ref="AB408:AB409"/>
    <mergeCell ref="AC408:AC409"/>
    <mergeCell ref="AH404:AH405"/>
    <mergeCell ref="W406:W407"/>
    <mergeCell ref="X406:X407"/>
    <mergeCell ref="Y406:Y407"/>
    <mergeCell ref="Z406:Z407"/>
    <mergeCell ref="AA406:AA407"/>
    <mergeCell ref="AB406:AB407"/>
    <mergeCell ref="AC406:AC407"/>
    <mergeCell ref="AD406:AD407"/>
    <mergeCell ref="AE406:AE407"/>
    <mergeCell ref="AB404:AB405"/>
    <mergeCell ref="AC404:AC405"/>
    <mergeCell ref="AD404:AD405"/>
    <mergeCell ref="AE404:AE405"/>
    <mergeCell ref="AF404:AF405"/>
    <mergeCell ref="AG404:AG405"/>
    <mergeCell ref="AD402:AD403"/>
    <mergeCell ref="AE402:AE403"/>
    <mergeCell ref="AF402:AF403"/>
    <mergeCell ref="AG402:AG403"/>
    <mergeCell ref="AH402:AH403"/>
    <mergeCell ref="W404:W405"/>
    <mergeCell ref="X404:X405"/>
    <mergeCell ref="Y404:Y405"/>
    <mergeCell ref="Z404:Z405"/>
    <mergeCell ref="AA404:AA405"/>
    <mergeCell ref="AD400:AD401"/>
    <mergeCell ref="AE400:AE401"/>
    <mergeCell ref="AH400:AH401"/>
    <mergeCell ref="W402:W403"/>
    <mergeCell ref="X402:X403"/>
    <mergeCell ref="Y402:Y403"/>
    <mergeCell ref="Z402:Z403"/>
    <mergeCell ref="AA402:AA403"/>
    <mergeCell ref="AB402:AB403"/>
    <mergeCell ref="AC402:AC403"/>
    <mergeCell ref="AD396:AD397"/>
    <mergeCell ref="AE396:AE397"/>
    <mergeCell ref="AF396:AF397"/>
    <mergeCell ref="AG396:AG397"/>
    <mergeCell ref="AH396:AH397"/>
    <mergeCell ref="Y400:Y401"/>
    <mergeCell ref="Z400:Z401"/>
    <mergeCell ref="AA400:AA401"/>
    <mergeCell ref="AB400:AB401"/>
    <mergeCell ref="AC400:AC401"/>
    <mergeCell ref="AF394:AF395"/>
    <mergeCell ref="AG394:AG395"/>
    <mergeCell ref="AH394:AH395"/>
    <mergeCell ref="W396:W397"/>
    <mergeCell ref="X396:X397"/>
    <mergeCell ref="Y396:Y397"/>
    <mergeCell ref="Z396:Z397"/>
    <mergeCell ref="AA396:AA397"/>
    <mergeCell ref="AB396:AB397"/>
    <mergeCell ref="AC396:AC397"/>
    <mergeCell ref="AH392:AH393"/>
    <mergeCell ref="W394:W395"/>
    <mergeCell ref="X394:X395"/>
    <mergeCell ref="Y394:Y395"/>
    <mergeCell ref="Z394:Z395"/>
    <mergeCell ref="AA394:AA395"/>
    <mergeCell ref="AB394:AB395"/>
    <mergeCell ref="AC394:AC395"/>
    <mergeCell ref="AD394:AD395"/>
    <mergeCell ref="AE394:AE395"/>
    <mergeCell ref="AB392:AB393"/>
    <mergeCell ref="AC392:AC393"/>
    <mergeCell ref="AD392:AD393"/>
    <mergeCell ref="AE392:AE393"/>
    <mergeCell ref="AF392:AF393"/>
    <mergeCell ref="AG392:AG393"/>
    <mergeCell ref="AD390:AD391"/>
    <mergeCell ref="AE390:AE391"/>
    <mergeCell ref="AF390:AF391"/>
    <mergeCell ref="AG390:AG391"/>
    <mergeCell ref="AH390:AH391"/>
    <mergeCell ref="W392:W393"/>
    <mergeCell ref="X392:X393"/>
    <mergeCell ref="Y392:Y393"/>
    <mergeCell ref="Z392:Z393"/>
    <mergeCell ref="AA392:AA393"/>
    <mergeCell ref="AD388:AD389"/>
    <mergeCell ref="AE388:AE389"/>
    <mergeCell ref="AH388:AH389"/>
    <mergeCell ref="W390:W391"/>
    <mergeCell ref="X390:X391"/>
    <mergeCell ref="Y390:Y391"/>
    <mergeCell ref="Z390:Z391"/>
    <mergeCell ref="AA390:AA391"/>
    <mergeCell ref="AB390:AB391"/>
    <mergeCell ref="AC390:AC391"/>
    <mergeCell ref="AD384:AD385"/>
    <mergeCell ref="AE384:AE385"/>
    <mergeCell ref="AF384:AF385"/>
    <mergeCell ref="AG384:AG385"/>
    <mergeCell ref="AH384:AH385"/>
    <mergeCell ref="Y388:Y389"/>
    <mergeCell ref="Z388:Z389"/>
    <mergeCell ref="AA388:AA389"/>
    <mergeCell ref="AB388:AB389"/>
    <mergeCell ref="AC388:AC389"/>
    <mergeCell ref="AF382:AF383"/>
    <mergeCell ref="AG382:AG383"/>
    <mergeCell ref="AH382:AH383"/>
    <mergeCell ref="W384:W385"/>
    <mergeCell ref="X384:X385"/>
    <mergeCell ref="Y384:Y385"/>
    <mergeCell ref="Z384:Z385"/>
    <mergeCell ref="AA384:AA385"/>
    <mergeCell ref="AB384:AB385"/>
    <mergeCell ref="AC384:AC385"/>
    <mergeCell ref="AC376:AC377"/>
    <mergeCell ref="AF376:AF377"/>
    <mergeCell ref="AG376:AG377"/>
    <mergeCell ref="AH380:AH381"/>
    <mergeCell ref="W382:W383"/>
    <mergeCell ref="X382:X383"/>
    <mergeCell ref="Y382:Y383"/>
    <mergeCell ref="Z382:Z383"/>
    <mergeCell ref="AA382:AA383"/>
    <mergeCell ref="AB382:AB383"/>
    <mergeCell ref="AC382:AC383"/>
    <mergeCell ref="AD382:AD383"/>
    <mergeCell ref="AE382:AE383"/>
    <mergeCell ref="AB380:AB381"/>
    <mergeCell ref="AC380:AC381"/>
    <mergeCell ref="AD380:AD381"/>
    <mergeCell ref="AE380:AE381"/>
    <mergeCell ref="AF380:AF381"/>
    <mergeCell ref="AG380:AG381"/>
    <mergeCell ref="AD378:AD379"/>
    <mergeCell ref="AE378:AE379"/>
    <mergeCell ref="AF378:AF379"/>
    <mergeCell ref="AG378:AG379"/>
    <mergeCell ref="AH378:AH379"/>
    <mergeCell ref="W380:W381"/>
    <mergeCell ref="X380:X381"/>
    <mergeCell ref="Y380:Y381"/>
    <mergeCell ref="Z380:Z381"/>
    <mergeCell ref="AA380:AA381"/>
    <mergeCell ref="AF370:AF371"/>
    <mergeCell ref="AG370:AG371"/>
    <mergeCell ref="AH370:AH371"/>
    <mergeCell ref="W372:W373"/>
    <mergeCell ref="X372:X373"/>
    <mergeCell ref="Y372:Y373"/>
    <mergeCell ref="Z372:Z373"/>
    <mergeCell ref="AA372:AA373"/>
    <mergeCell ref="AB372:AB373"/>
    <mergeCell ref="AC372:AC373"/>
    <mergeCell ref="AH368:AH369"/>
    <mergeCell ref="W370:W371"/>
    <mergeCell ref="X370:X371"/>
    <mergeCell ref="Y370:Y371"/>
    <mergeCell ref="Z370:Z371"/>
    <mergeCell ref="AA370:AA371"/>
    <mergeCell ref="AB370:AB371"/>
    <mergeCell ref="AC370:AC371"/>
    <mergeCell ref="AD370:AD371"/>
    <mergeCell ref="AE370:AE371"/>
    <mergeCell ref="AB368:AB369"/>
    <mergeCell ref="AC368:AC369"/>
    <mergeCell ref="AD368:AD369"/>
    <mergeCell ref="AE368:AE369"/>
    <mergeCell ref="AF368:AF369"/>
    <mergeCell ref="AG368:AG369"/>
    <mergeCell ref="AD372:AD373"/>
    <mergeCell ref="AE372:AE373"/>
    <mergeCell ref="AF372:AF373"/>
    <mergeCell ref="AG372:AG373"/>
    <mergeCell ref="AH372:AH373"/>
    <mergeCell ref="AD366:AD367"/>
    <mergeCell ref="AE366:AE367"/>
    <mergeCell ref="AF366:AF367"/>
    <mergeCell ref="AG366:AG367"/>
    <mergeCell ref="AH366:AH367"/>
    <mergeCell ref="W368:W369"/>
    <mergeCell ref="X368:X369"/>
    <mergeCell ref="Y368:Y369"/>
    <mergeCell ref="Z368:Z369"/>
    <mergeCell ref="AA368:AA369"/>
    <mergeCell ref="AD364:AD365"/>
    <mergeCell ref="AE364:AE365"/>
    <mergeCell ref="AH364:AH365"/>
    <mergeCell ref="W366:W367"/>
    <mergeCell ref="X366:X367"/>
    <mergeCell ref="Y366:Y367"/>
    <mergeCell ref="Z366:Z367"/>
    <mergeCell ref="AA366:AA367"/>
    <mergeCell ref="AB366:AB367"/>
    <mergeCell ref="AC366:AC367"/>
    <mergeCell ref="AD360:AD361"/>
    <mergeCell ref="AE360:AE361"/>
    <mergeCell ref="AF360:AF361"/>
    <mergeCell ref="AG360:AG361"/>
    <mergeCell ref="AH360:AH361"/>
    <mergeCell ref="Y364:Y365"/>
    <mergeCell ref="Z364:Z365"/>
    <mergeCell ref="AA364:AA365"/>
    <mergeCell ref="AB364:AB365"/>
    <mergeCell ref="AC364:AC365"/>
    <mergeCell ref="AF358:AF359"/>
    <mergeCell ref="AG358:AG359"/>
    <mergeCell ref="AH358:AH359"/>
    <mergeCell ref="W360:W361"/>
    <mergeCell ref="X360:X361"/>
    <mergeCell ref="Y360:Y361"/>
    <mergeCell ref="Z360:Z361"/>
    <mergeCell ref="AA360:AA361"/>
    <mergeCell ref="AB360:AB361"/>
    <mergeCell ref="AC360:AC361"/>
    <mergeCell ref="AH356:AH357"/>
    <mergeCell ref="W358:W359"/>
    <mergeCell ref="X358:X359"/>
    <mergeCell ref="Y358:Y359"/>
    <mergeCell ref="Z358:Z359"/>
    <mergeCell ref="AA358:AA359"/>
    <mergeCell ref="AB358:AB359"/>
    <mergeCell ref="AC358:AC359"/>
    <mergeCell ref="AD358:AD359"/>
    <mergeCell ref="AE358:AE359"/>
    <mergeCell ref="AB356:AB357"/>
    <mergeCell ref="AC356:AC357"/>
    <mergeCell ref="AD356:AD357"/>
    <mergeCell ref="AE356:AE357"/>
    <mergeCell ref="AF356:AF357"/>
    <mergeCell ref="AG356:AG357"/>
    <mergeCell ref="AD354:AD355"/>
    <mergeCell ref="AE354:AE355"/>
    <mergeCell ref="AF354:AF355"/>
    <mergeCell ref="AG354:AG355"/>
    <mergeCell ref="AH354:AH355"/>
    <mergeCell ref="W356:W357"/>
    <mergeCell ref="X356:X357"/>
    <mergeCell ref="Y356:Y357"/>
    <mergeCell ref="Z356:Z357"/>
    <mergeCell ref="AA356:AA357"/>
    <mergeCell ref="AD352:AD353"/>
    <mergeCell ref="AE352:AE353"/>
    <mergeCell ref="AH352:AH353"/>
    <mergeCell ref="W354:W355"/>
    <mergeCell ref="X354:X355"/>
    <mergeCell ref="Y354:Y355"/>
    <mergeCell ref="Z354:Z355"/>
    <mergeCell ref="AA354:AA355"/>
    <mergeCell ref="AB354:AB355"/>
    <mergeCell ref="AC354:AC355"/>
    <mergeCell ref="AD348:AD349"/>
    <mergeCell ref="AE348:AE349"/>
    <mergeCell ref="AF348:AF349"/>
    <mergeCell ref="AG348:AG349"/>
    <mergeCell ref="AH348:AH349"/>
    <mergeCell ref="Y352:Y353"/>
    <mergeCell ref="Z352:Z353"/>
    <mergeCell ref="AA352:AA353"/>
    <mergeCell ref="AB352:AB353"/>
    <mergeCell ref="AC352:AC353"/>
    <mergeCell ref="AF346:AF347"/>
    <mergeCell ref="AG346:AG347"/>
    <mergeCell ref="AH346:AH347"/>
    <mergeCell ref="W348:W349"/>
    <mergeCell ref="X348:X349"/>
    <mergeCell ref="Y348:Y349"/>
    <mergeCell ref="Z348:Z349"/>
    <mergeCell ref="AA348:AA349"/>
    <mergeCell ref="AB348:AB349"/>
    <mergeCell ref="AC348:AC349"/>
    <mergeCell ref="AH344:AH345"/>
    <mergeCell ref="W346:W347"/>
    <mergeCell ref="X346:X347"/>
    <mergeCell ref="Y346:Y347"/>
    <mergeCell ref="Z346:Z347"/>
    <mergeCell ref="AA346:AA347"/>
    <mergeCell ref="AB346:AB347"/>
    <mergeCell ref="AC346:AC347"/>
    <mergeCell ref="AD346:AD347"/>
    <mergeCell ref="AE346:AE347"/>
    <mergeCell ref="AB344:AB345"/>
    <mergeCell ref="AC344:AC345"/>
    <mergeCell ref="AD344:AD345"/>
    <mergeCell ref="AE344:AE345"/>
    <mergeCell ref="AF344:AF345"/>
    <mergeCell ref="AG344:AG345"/>
    <mergeCell ref="AD342:AD343"/>
    <mergeCell ref="AE342:AE343"/>
    <mergeCell ref="AF342:AF343"/>
    <mergeCell ref="AG342:AG343"/>
    <mergeCell ref="AH342:AH343"/>
    <mergeCell ref="W344:W345"/>
    <mergeCell ref="X344:X345"/>
    <mergeCell ref="Y344:Y345"/>
    <mergeCell ref="Z344:Z345"/>
    <mergeCell ref="AA344:AA345"/>
    <mergeCell ref="AD340:AD341"/>
    <mergeCell ref="AE340:AE341"/>
    <mergeCell ref="AH340:AH341"/>
    <mergeCell ref="W342:W343"/>
    <mergeCell ref="X342:X343"/>
    <mergeCell ref="Y342:Y343"/>
    <mergeCell ref="Z342:Z343"/>
    <mergeCell ref="AA342:AA343"/>
    <mergeCell ref="AB342:AB343"/>
    <mergeCell ref="AC342:AC343"/>
    <mergeCell ref="AD336:AD337"/>
    <mergeCell ref="AE336:AE337"/>
    <mergeCell ref="AF336:AF337"/>
    <mergeCell ref="AG336:AG337"/>
    <mergeCell ref="AH336:AH337"/>
    <mergeCell ref="Y340:Y341"/>
    <mergeCell ref="Z340:Z341"/>
    <mergeCell ref="AA340:AA341"/>
    <mergeCell ref="AB340:AB341"/>
    <mergeCell ref="AC340:AC341"/>
    <mergeCell ref="AF334:AF335"/>
    <mergeCell ref="AG334:AG335"/>
    <mergeCell ref="AH334:AH335"/>
    <mergeCell ref="W336:W337"/>
    <mergeCell ref="X336:X337"/>
    <mergeCell ref="Y336:Y337"/>
    <mergeCell ref="Z336:Z337"/>
    <mergeCell ref="AA336:AA337"/>
    <mergeCell ref="AB336:AB337"/>
    <mergeCell ref="AC336:AC337"/>
    <mergeCell ref="AH332:AH333"/>
    <mergeCell ref="W334:W335"/>
    <mergeCell ref="X334:X335"/>
    <mergeCell ref="Y334:Y335"/>
    <mergeCell ref="Z334:Z335"/>
    <mergeCell ref="AA334:AA335"/>
    <mergeCell ref="AB334:AB335"/>
    <mergeCell ref="AC334:AC335"/>
    <mergeCell ref="AD334:AD335"/>
    <mergeCell ref="AE334:AE335"/>
    <mergeCell ref="AB332:AB333"/>
    <mergeCell ref="AC332:AC333"/>
    <mergeCell ref="AD332:AD333"/>
    <mergeCell ref="AE332:AE333"/>
    <mergeCell ref="AF332:AF333"/>
    <mergeCell ref="AG332:AG333"/>
    <mergeCell ref="AD330:AD331"/>
    <mergeCell ref="AE330:AE331"/>
    <mergeCell ref="AF330:AF331"/>
    <mergeCell ref="AG330:AG331"/>
    <mergeCell ref="AH330:AH331"/>
    <mergeCell ref="W332:W333"/>
    <mergeCell ref="X332:X333"/>
    <mergeCell ref="Y332:Y333"/>
    <mergeCell ref="Z332:Z333"/>
    <mergeCell ref="AA332:AA333"/>
    <mergeCell ref="AD328:AD329"/>
    <mergeCell ref="AE328:AE329"/>
    <mergeCell ref="AH328:AH329"/>
    <mergeCell ref="W330:W331"/>
    <mergeCell ref="X330:X331"/>
    <mergeCell ref="Y330:Y331"/>
    <mergeCell ref="Z330:Z331"/>
    <mergeCell ref="AA330:AA331"/>
    <mergeCell ref="AB330:AB331"/>
    <mergeCell ref="AC330:AC331"/>
    <mergeCell ref="AD324:AD325"/>
    <mergeCell ref="AE324:AE325"/>
    <mergeCell ref="AF324:AF325"/>
    <mergeCell ref="AG324:AG325"/>
    <mergeCell ref="AH324:AH325"/>
    <mergeCell ref="Y328:Y329"/>
    <mergeCell ref="Z328:Z329"/>
    <mergeCell ref="AA328:AA329"/>
    <mergeCell ref="AB328:AB329"/>
    <mergeCell ref="AC328:AC329"/>
    <mergeCell ref="Y318:Y319"/>
    <mergeCell ref="Z318:Z319"/>
    <mergeCell ref="AA318:AA319"/>
    <mergeCell ref="AB318:AB319"/>
    <mergeCell ref="AC318:AC319"/>
    <mergeCell ref="AF322:AF323"/>
    <mergeCell ref="AG322:AG323"/>
    <mergeCell ref="AH322:AH323"/>
    <mergeCell ref="W324:W325"/>
    <mergeCell ref="X324:X325"/>
    <mergeCell ref="Y324:Y325"/>
    <mergeCell ref="Z324:Z325"/>
    <mergeCell ref="AA324:AA325"/>
    <mergeCell ref="AB324:AB325"/>
    <mergeCell ref="AC324:AC325"/>
    <mergeCell ref="AH320:AH321"/>
    <mergeCell ref="W322:W323"/>
    <mergeCell ref="X322:X323"/>
    <mergeCell ref="Y322:Y323"/>
    <mergeCell ref="Z322:Z323"/>
    <mergeCell ref="AA322:AA323"/>
    <mergeCell ref="AB322:AB323"/>
    <mergeCell ref="AC322:AC323"/>
    <mergeCell ref="AD322:AD323"/>
    <mergeCell ref="AE322:AE323"/>
    <mergeCell ref="AB320:AB321"/>
    <mergeCell ref="AC320:AC321"/>
    <mergeCell ref="AD320:AD321"/>
    <mergeCell ref="AE320:AE321"/>
    <mergeCell ref="AF320:AF321"/>
    <mergeCell ref="AG320:AG321"/>
    <mergeCell ref="AD312:AD313"/>
    <mergeCell ref="AE312:AE313"/>
    <mergeCell ref="AF312:AF313"/>
    <mergeCell ref="AG312:AG313"/>
    <mergeCell ref="AH312:AH313"/>
    <mergeCell ref="Y316:Y317"/>
    <mergeCell ref="Z316:Z317"/>
    <mergeCell ref="AA316:AA317"/>
    <mergeCell ref="AB316:AB317"/>
    <mergeCell ref="AC316:AC317"/>
    <mergeCell ref="AF310:AF311"/>
    <mergeCell ref="AG310:AG311"/>
    <mergeCell ref="AH310:AH311"/>
    <mergeCell ref="W312:W313"/>
    <mergeCell ref="X312:X313"/>
    <mergeCell ref="Y312:Y313"/>
    <mergeCell ref="Z312:Z313"/>
    <mergeCell ref="AA312:AA313"/>
    <mergeCell ref="AB312:AB313"/>
    <mergeCell ref="AC312:AC313"/>
    <mergeCell ref="AD316:AD317"/>
    <mergeCell ref="AE316:AE317"/>
    <mergeCell ref="AH316:AH317"/>
    <mergeCell ref="AH308:AH309"/>
    <mergeCell ref="W310:W311"/>
    <mergeCell ref="X310:X311"/>
    <mergeCell ref="Y310:Y311"/>
    <mergeCell ref="Z310:Z311"/>
    <mergeCell ref="AA310:AA311"/>
    <mergeCell ref="AB310:AB311"/>
    <mergeCell ref="AC310:AC311"/>
    <mergeCell ref="AD310:AD311"/>
    <mergeCell ref="AE310:AE311"/>
    <mergeCell ref="AB308:AB309"/>
    <mergeCell ref="AC308:AC309"/>
    <mergeCell ref="AD308:AD309"/>
    <mergeCell ref="AE308:AE309"/>
    <mergeCell ref="AF308:AF309"/>
    <mergeCell ref="AG308:AG309"/>
    <mergeCell ref="AD306:AD307"/>
    <mergeCell ref="AE306:AE307"/>
    <mergeCell ref="AF306:AF307"/>
    <mergeCell ref="AG306:AG307"/>
    <mergeCell ref="AH306:AH307"/>
    <mergeCell ref="W308:W309"/>
    <mergeCell ref="X308:X309"/>
    <mergeCell ref="Y308:Y309"/>
    <mergeCell ref="Z308:Z309"/>
    <mergeCell ref="AA308:AA309"/>
    <mergeCell ref="AD304:AD305"/>
    <mergeCell ref="AE304:AE305"/>
    <mergeCell ref="AH304:AH305"/>
    <mergeCell ref="W306:W307"/>
    <mergeCell ref="X306:X307"/>
    <mergeCell ref="Y306:Y307"/>
    <mergeCell ref="Z306:Z307"/>
    <mergeCell ref="AA306:AA307"/>
    <mergeCell ref="AB306:AB307"/>
    <mergeCell ref="AC306:AC307"/>
    <mergeCell ref="AD300:AD301"/>
    <mergeCell ref="AE300:AE301"/>
    <mergeCell ref="AF300:AF301"/>
    <mergeCell ref="AG300:AG301"/>
    <mergeCell ref="AH300:AH301"/>
    <mergeCell ref="Y304:Y305"/>
    <mergeCell ref="Z304:Z305"/>
    <mergeCell ref="AA304:AA305"/>
    <mergeCell ref="AB304:AB305"/>
    <mergeCell ref="AC304:AC305"/>
    <mergeCell ref="Y294:Y295"/>
    <mergeCell ref="Z294:Z295"/>
    <mergeCell ref="AA294:AA295"/>
    <mergeCell ref="AB294:AB295"/>
    <mergeCell ref="AC294:AC295"/>
    <mergeCell ref="AF298:AF299"/>
    <mergeCell ref="AG298:AG299"/>
    <mergeCell ref="AH298:AH299"/>
    <mergeCell ref="W300:W301"/>
    <mergeCell ref="X300:X301"/>
    <mergeCell ref="Y300:Y301"/>
    <mergeCell ref="Z300:Z301"/>
    <mergeCell ref="AA300:AA301"/>
    <mergeCell ref="AB300:AB301"/>
    <mergeCell ref="AC300:AC301"/>
    <mergeCell ref="AH296:AH297"/>
    <mergeCell ref="W298:W299"/>
    <mergeCell ref="X298:X299"/>
    <mergeCell ref="Y298:Y299"/>
    <mergeCell ref="Z298:Z299"/>
    <mergeCell ref="AA298:AA299"/>
    <mergeCell ref="AB298:AB299"/>
    <mergeCell ref="AC298:AC299"/>
    <mergeCell ref="AD298:AD299"/>
    <mergeCell ref="AE298:AE299"/>
    <mergeCell ref="AB296:AB297"/>
    <mergeCell ref="AC296:AC297"/>
    <mergeCell ref="AD296:AD297"/>
    <mergeCell ref="AE296:AE297"/>
    <mergeCell ref="AF296:AF297"/>
    <mergeCell ref="AG296:AG297"/>
    <mergeCell ref="AD288:AD289"/>
    <mergeCell ref="AE288:AE289"/>
    <mergeCell ref="AF288:AF289"/>
    <mergeCell ref="AG288:AG289"/>
    <mergeCell ref="AH288:AH289"/>
    <mergeCell ref="Y292:Y293"/>
    <mergeCell ref="Z292:Z293"/>
    <mergeCell ref="AA292:AA293"/>
    <mergeCell ref="AB292:AB293"/>
    <mergeCell ref="AC292:AC293"/>
    <mergeCell ref="AF286:AF287"/>
    <mergeCell ref="AG286:AG287"/>
    <mergeCell ref="AH286:AH287"/>
    <mergeCell ref="W288:W289"/>
    <mergeCell ref="X288:X289"/>
    <mergeCell ref="Y288:Y289"/>
    <mergeCell ref="Z288:Z289"/>
    <mergeCell ref="AA288:AA289"/>
    <mergeCell ref="AB288:AB289"/>
    <mergeCell ref="AC288:AC289"/>
    <mergeCell ref="AD292:AD293"/>
    <mergeCell ref="AE292:AE293"/>
    <mergeCell ref="AH292:AH293"/>
    <mergeCell ref="AH284:AH285"/>
    <mergeCell ref="W286:W287"/>
    <mergeCell ref="X286:X287"/>
    <mergeCell ref="Y286:Y287"/>
    <mergeCell ref="Z286:Z287"/>
    <mergeCell ref="AA286:AA287"/>
    <mergeCell ref="AB286:AB287"/>
    <mergeCell ref="AC286:AC287"/>
    <mergeCell ref="AD286:AD287"/>
    <mergeCell ref="AE286:AE287"/>
    <mergeCell ref="AB284:AB285"/>
    <mergeCell ref="AC284:AC285"/>
    <mergeCell ref="AD284:AD285"/>
    <mergeCell ref="AE284:AE285"/>
    <mergeCell ref="AF284:AF285"/>
    <mergeCell ref="AG284:AG285"/>
    <mergeCell ref="AD282:AD283"/>
    <mergeCell ref="AE282:AE283"/>
    <mergeCell ref="AF282:AF283"/>
    <mergeCell ref="AG282:AG283"/>
    <mergeCell ref="AH282:AH283"/>
    <mergeCell ref="W284:W285"/>
    <mergeCell ref="X284:X285"/>
    <mergeCell ref="Y284:Y285"/>
    <mergeCell ref="Z284:Z285"/>
    <mergeCell ref="AA284:AA285"/>
    <mergeCell ref="AD280:AD281"/>
    <mergeCell ref="AE280:AE281"/>
    <mergeCell ref="AH280:AH281"/>
    <mergeCell ref="W282:W283"/>
    <mergeCell ref="X282:X283"/>
    <mergeCell ref="Y282:Y283"/>
    <mergeCell ref="Z282:Z283"/>
    <mergeCell ref="AA282:AA283"/>
    <mergeCell ref="AB282:AB283"/>
    <mergeCell ref="AC282:AC283"/>
    <mergeCell ref="AD276:AD277"/>
    <mergeCell ref="AE276:AE277"/>
    <mergeCell ref="AF276:AF277"/>
    <mergeCell ref="AG276:AG277"/>
    <mergeCell ref="AH276:AH277"/>
    <mergeCell ref="Y280:Y281"/>
    <mergeCell ref="Z280:Z281"/>
    <mergeCell ref="AA280:AA281"/>
    <mergeCell ref="AB280:AB281"/>
    <mergeCell ref="AC280:AC281"/>
    <mergeCell ref="Y270:Y271"/>
    <mergeCell ref="Z270:Z271"/>
    <mergeCell ref="AA270:AA271"/>
    <mergeCell ref="AB270:AB271"/>
    <mergeCell ref="AC270:AC271"/>
    <mergeCell ref="AF274:AF275"/>
    <mergeCell ref="AG274:AG275"/>
    <mergeCell ref="AH274:AH275"/>
    <mergeCell ref="W276:W277"/>
    <mergeCell ref="X276:X277"/>
    <mergeCell ref="Y276:Y277"/>
    <mergeCell ref="Z276:Z277"/>
    <mergeCell ref="AA276:AA277"/>
    <mergeCell ref="AB276:AB277"/>
    <mergeCell ref="AC276:AC277"/>
    <mergeCell ref="AH272:AH273"/>
    <mergeCell ref="W274:W275"/>
    <mergeCell ref="X274:X275"/>
    <mergeCell ref="Y274:Y275"/>
    <mergeCell ref="Z274:Z275"/>
    <mergeCell ref="AA274:AA275"/>
    <mergeCell ref="AB274:AB275"/>
    <mergeCell ref="AC274:AC275"/>
    <mergeCell ref="AD274:AD275"/>
    <mergeCell ref="AE274:AE275"/>
    <mergeCell ref="AB272:AB273"/>
    <mergeCell ref="AC272:AC273"/>
    <mergeCell ref="AD272:AD273"/>
    <mergeCell ref="AE272:AE273"/>
    <mergeCell ref="AF272:AF273"/>
    <mergeCell ref="AG272:AG273"/>
    <mergeCell ref="AD264:AD265"/>
    <mergeCell ref="AE264:AE265"/>
    <mergeCell ref="AF264:AF265"/>
    <mergeCell ref="AG264:AG265"/>
    <mergeCell ref="AH264:AH265"/>
    <mergeCell ref="Y268:Y269"/>
    <mergeCell ref="Z268:Z269"/>
    <mergeCell ref="AA268:AA269"/>
    <mergeCell ref="AB268:AB269"/>
    <mergeCell ref="AC268:AC269"/>
    <mergeCell ref="AF262:AF263"/>
    <mergeCell ref="AG262:AG263"/>
    <mergeCell ref="AH262:AH263"/>
    <mergeCell ref="W264:W265"/>
    <mergeCell ref="X264:X265"/>
    <mergeCell ref="Y264:Y265"/>
    <mergeCell ref="Z264:Z265"/>
    <mergeCell ref="AA264:AA265"/>
    <mergeCell ref="AB264:AB265"/>
    <mergeCell ref="AC264:AC265"/>
    <mergeCell ref="AD268:AD269"/>
    <mergeCell ref="AE268:AE269"/>
    <mergeCell ref="AH268:AH269"/>
    <mergeCell ref="AH260:AH261"/>
    <mergeCell ref="W262:W263"/>
    <mergeCell ref="X262:X263"/>
    <mergeCell ref="Y262:Y263"/>
    <mergeCell ref="Z262:Z263"/>
    <mergeCell ref="AA262:AA263"/>
    <mergeCell ref="AB262:AB263"/>
    <mergeCell ref="AC262:AC263"/>
    <mergeCell ref="AD262:AD263"/>
    <mergeCell ref="AE262:AE263"/>
    <mergeCell ref="AB260:AB261"/>
    <mergeCell ref="AC260:AC261"/>
    <mergeCell ref="AD260:AD261"/>
    <mergeCell ref="AE260:AE261"/>
    <mergeCell ref="AF260:AF261"/>
    <mergeCell ref="AG260:AG261"/>
    <mergeCell ref="AD258:AD259"/>
    <mergeCell ref="AE258:AE259"/>
    <mergeCell ref="AF258:AF259"/>
    <mergeCell ref="AG258:AG259"/>
    <mergeCell ref="AH258:AH259"/>
    <mergeCell ref="W260:W261"/>
    <mergeCell ref="X260:X261"/>
    <mergeCell ref="Y260:Y261"/>
    <mergeCell ref="Z260:Z261"/>
    <mergeCell ref="AA260:AA261"/>
    <mergeCell ref="AD256:AD257"/>
    <mergeCell ref="AE256:AE257"/>
    <mergeCell ref="AH256:AH257"/>
    <mergeCell ref="W258:W259"/>
    <mergeCell ref="X258:X259"/>
    <mergeCell ref="Y258:Y259"/>
    <mergeCell ref="Z258:Z259"/>
    <mergeCell ref="AA258:AA259"/>
    <mergeCell ref="AB258:AB259"/>
    <mergeCell ref="AC258:AC259"/>
    <mergeCell ref="AD252:AD253"/>
    <mergeCell ref="AE252:AE253"/>
    <mergeCell ref="AF252:AF253"/>
    <mergeCell ref="AG252:AG253"/>
    <mergeCell ref="AH252:AH253"/>
    <mergeCell ref="Y256:Y257"/>
    <mergeCell ref="Z256:Z257"/>
    <mergeCell ref="AA256:AA257"/>
    <mergeCell ref="AB256:AB257"/>
    <mergeCell ref="AC256:AC257"/>
    <mergeCell ref="Y246:Y247"/>
    <mergeCell ref="Z246:Z247"/>
    <mergeCell ref="AA246:AA247"/>
    <mergeCell ref="AB246:AB247"/>
    <mergeCell ref="AC246:AC247"/>
    <mergeCell ref="AF250:AF251"/>
    <mergeCell ref="AG250:AG251"/>
    <mergeCell ref="AH250:AH251"/>
    <mergeCell ref="W252:W253"/>
    <mergeCell ref="X252:X253"/>
    <mergeCell ref="Y252:Y253"/>
    <mergeCell ref="Z252:Z253"/>
    <mergeCell ref="AA252:AA253"/>
    <mergeCell ref="AB252:AB253"/>
    <mergeCell ref="AC252:AC253"/>
    <mergeCell ref="AH248:AH249"/>
    <mergeCell ref="W250:W251"/>
    <mergeCell ref="X250:X251"/>
    <mergeCell ref="Y250:Y251"/>
    <mergeCell ref="Z250:Z251"/>
    <mergeCell ref="AA250:AA251"/>
    <mergeCell ref="AB250:AB251"/>
    <mergeCell ref="AC250:AC251"/>
    <mergeCell ref="AD250:AD251"/>
    <mergeCell ref="AE250:AE251"/>
    <mergeCell ref="AB248:AB249"/>
    <mergeCell ref="AC248:AC249"/>
    <mergeCell ref="AD248:AD249"/>
    <mergeCell ref="AE248:AE249"/>
    <mergeCell ref="AF248:AF249"/>
    <mergeCell ref="AG248:AG249"/>
    <mergeCell ref="AD240:AD241"/>
    <mergeCell ref="AE240:AE241"/>
    <mergeCell ref="AF240:AF241"/>
    <mergeCell ref="AG240:AG241"/>
    <mergeCell ref="AH240:AH241"/>
    <mergeCell ref="Y244:Y245"/>
    <mergeCell ref="Z244:Z245"/>
    <mergeCell ref="AA244:AA245"/>
    <mergeCell ref="AB244:AB245"/>
    <mergeCell ref="AC244:AC245"/>
    <mergeCell ref="AF238:AF239"/>
    <mergeCell ref="AG238:AG239"/>
    <mergeCell ref="AH238:AH239"/>
    <mergeCell ref="W240:W241"/>
    <mergeCell ref="X240:X241"/>
    <mergeCell ref="Y240:Y241"/>
    <mergeCell ref="Z240:Z241"/>
    <mergeCell ref="AA240:AA241"/>
    <mergeCell ref="AB240:AB241"/>
    <mergeCell ref="AC240:AC241"/>
    <mergeCell ref="AD244:AD245"/>
    <mergeCell ref="AE244:AE245"/>
    <mergeCell ref="AH244:AH245"/>
    <mergeCell ref="AH236:AH237"/>
    <mergeCell ref="W238:W239"/>
    <mergeCell ref="X238:X239"/>
    <mergeCell ref="Y238:Y239"/>
    <mergeCell ref="Z238:Z239"/>
    <mergeCell ref="AA238:AA239"/>
    <mergeCell ref="AB238:AB239"/>
    <mergeCell ref="AC238:AC239"/>
    <mergeCell ref="AD238:AD239"/>
    <mergeCell ref="AE238:AE239"/>
    <mergeCell ref="AB236:AB237"/>
    <mergeCell ref="AC236:AC237"/>
    <mergeCell ref="AD236:AD237"/>
    <mergeCell ref="AE236:AE237"/>
    <mergeCell ref="AF236:AF237"/>
    <mergeCell ref="AG236:AG237"/>
    <mergeCell ref="AD234:AD235"/>
    <mergeCell ref="AE234:AE235"/>
    <mergeCell ref="AF234:AF235"/>
    <mergeCell ref="AG234:AG235"/>
    <mergeCell ref="AH234:AH235"/>
    <mergeCell ref="W236:W237"/>
    <mergeCell ref="X236:X237"/>
    <mergeCell ref="Y236:Y237"/>
    <mergeCell ref="Z236:Z237"/>
    <mergeCell ref="AA236:AA237"/>
    <mergeCell ref="AD232:AD233"/>
    <mergeCell ref="AE232:AE233"/>
    <mergeCell ref="AH232:AH233"/>
    <mergeCell ref="W234:W235"/>
    <mergeCell ref="X234:X235"/>
    <mergeCell ref="Y234:Y235"/>
    <mergeCell ref="Z234:Z235"/>
    <mergeCell ref="AA234:AA235"/>
    <mergeCell ref="AB234:AB235"/>
    <mergeCell ref="AC234:AC235"/>
    <mergeCell ref="AD228:AD229"/>
    <mergeCell ref="AE228:AE229"/>
    <mergeCell ref="AF228:AF229"/>
    <mergeCell ref="AG228:AG229"/>
    <mergeCell ref="AH228:AH229"/>
    <mergeCell ref="Y232:Y233"/>
    <mergeCell ref="Z232:Z233"/>
    <mergeCell ref="AA232:AA233"/>
    <mergeCell ref="AB232:AB233"/>
    <mergeCell ref="AC232:AC233"/>
    <mergeCell ref="Y222:Y223"/>
    <mergeCell ref="Z222:Z223"/>
    <mergeCell ref="AA222:AA223"/>
    <mergeCell ref="AB222:AB223"/>
    <mergeCell ref="AC222:AC223"/>
    <mergeCell ref="AF226:AF227"/>
    <mergeCell ref="AG226:AG227"/>
    <mergeCell ref="AH226:AH227"/>
    <mergeCell ref="W228:W229"/>
    <mergeCell ref="X228:X229"/>
    <mergeCell ref="Y228:Y229"/>
    <mergeCell ref="Z228:Z229"/>
    <mergeCell ref="AA228:AA229"/>
    <mergeCell ref="AB228:AB229"/>
    <mergeCell ref="AC228:AC229"/>
    <mergeCell ref="AH224:AH225"/>
    <mergeCell ref="W226:W227"/>
    <mergeCell ref="X226:X227"/>
    <mergeCell ref="Y226:Y227"/>
    <mergeCell ref="Z226:Z227"/>
    <mergeCell ref="AA226:AA227"/>
    <mergeCell ref="AB226:AB227"/>
    <mergeCell ref="AC226:AC227"/>
    <mergeCell ref="AD226:AD227"/>
    <mergeCell ref="AE226:AE227"/>
    <mergeCell ref="AB224:AB225"/>
    <mergeCell ref="AC224:AC225"/>
    <mergeCell ref="AD224:AD225"/>
    <mergeCell ref="AE224:AE225"/>
    <mergeCell ref="AF224:AF225"/>
    <mergeCell ref="AG224:AG225"/>
    <mergeCell ref="AD216:AD217"/>
    <mergeCell ref="AE216:AE217"/>
    <mergeCell ref="AF216:AF217"/>
    <mergeCell ref="AG216:AG217"/>
    <mergeCell ref="AH216:AH217"/>
    <mergeCell ref="Y220:Y221"/>
    <mergeCell ref="Z220:Z221"/>
    <mergeCell ref="AA220:AA221"/>
    <mergeCell ref="AB220:AB221"/>
    <mergeCell ref="AC220:AC221"/>
    <mergeCell ref="AF214:AF215"/>
    <mergeCell ref="AG214:AG215"/>
    <mergeCell ref="AH214:AH215"/>
    <mergeCell ref="W216:W217"/>
    <mergeCell ref="X216:X217"/>
    <mergeCell ref="Y216:Y217"/>
    <mergeCell ref="Z216:Z217"/>
    <mergeCell ref="AA216:AA217"/>
    <mergeCell ref="AB216:AB217"/>
    <mergeCell ref="AC216:AC217"/>
    <mergeCell ref="AD220:AD221"/>
    <mergeCell ref="AE220:AE221"/>
    <mergeCell ref="AH220:AH221"/>
    <mergeCell ref="AH212:AH213"/>
    <mergeCell ref="W214:W215"/>
    <mergeCell ref="X214:X215"/>
    <mergeCell ref="Y214:Y215"/>
    <mergeCell ref="Z214:Z215"/>
    <mergeCell ref="AA214:AA215"/>
    <mergeCell ref="AB214:AB215"/>
    <mergeCell ref="AC214:AC215"/>
    <mergeCell ref="AD214:AD215"/>
    <mergeCell ref="AE214:AE215"/>
    <mergeCell ref="AB212:AB213"/>
    <mergeCell ref="AC212:AC213"/>
    <mergeCell ref="AD212:AD213"/>
    <mergeCell ref="AE212:AE213"/>
    <mergeCell ref="AF212:AF213"/>
    <mergeCell ref="AG212:AG213"/>
    <mergeCell ref="AD210:AD211"/>
    <mergeCell ref="AE210:AE211"/>
    <mergeCell ref="AF210:AF211"/>
    <mergeCell ref="AG210:AG211"/>
    <mergeCell ref="AH210:AH211"/>
    <mergeCell ref="W212:W213"/>
    <mergeCell ref="X212:X213"/>
    <mergeCell ref="Y212:Y213"/>
    <mergeCell ref="Z212:Z213"/>
    <mergeCell ref="AA212:AA213"/>
    <mergeCell ref="AD208:AD209"/>
    <mergeCell ref="AE208:AE209"/>
    <mergeCell ref="AH208:AH209"/>
    <mergeCell ref="W210:W211"/>
    <mergeCell ref="X210:X211"/>
    <mergeCell ref="Y210:Y211"/>
    <mergeCell ref="Z210:Z211"/>
    <mergeCell ref="AA210:AA211"/>
    <mergeCell ref="AB210:AB211"/>
    <mergeCell ref="AC210:AC211"/>
    <mergeCell ref="AD204:AD205"/>
    <mergeCell ref="AE204:AE205"/>
    <mergeCell ref="AF204:AF205"/>
    <mergeCell ref="AG204:AG205"/>
    <mergeCell ref="AH204:AH205"/>
    <mergeCell ref="Y208:Y209"/>
    <mergeCell ref="Z208:Z209"/>
    <mergeCell ref="AA208:AA209"/>
    <mergeCell ref="AB208:AB209"/>
    <mergeCell ref="AC208:AC209"/>
    <mergeCell ref="Y198:Y199"/>
    <mergeCell ref="Z198:Z199"/>
    <mergeCell ref="AA198:AA199"/>
    <mergeCell ref="AB198:AB199"/>
    <mergeCell ref="AC198:AC199"/>
    <mergeCell ref="AF202:AF203"/>
    <mergeCell ref="AG202:AG203"/>
    <mergeCell ref="AH202:AH203"/>
    <mergeCell ref="W204:W205"/>
    <mergeCell ref="X204:X205"/>
    <mergeCell ref="Y204:Y205"/>
    <mergeCell ref="Z204:Z205"/>
    <mergeCell ref="AA204:AA205"/>
    <mergeCell ref="AB204:AB205"/>
    <mergeCell ref="AC204:AC205"/>
    <mergeCell ref="AH200:AH201"/>
    <mergeCell ref="W202:W203"/>
    <mergeCell ref="X202:X203"/>
    <mergeCell ref="Y202:Y203"/>
    <mergeCell ref="Z202:Z203"/>
    <mergeCell ref="AA202:AA203"/>
    <mergeCell ref="AB202:AB203"/>
    <mergeCell ref="AC202:AC203"/>
    <mergeCell ref="AD202:AD203"/>
    <mergeCell ref="AE202:AE203"/>
    <mergeCell ref="AB200:AB201"/>
    <mergeCell ref="AC200:AC201"/>
    <mergeCell ref="AD200:AD201"/>
    <mergeCell ref="AE200:AE201"/>
    <mergeCell ref="AF200:AF201"/>
    <mergeCell ref="AG200:AG201"/>
    <mergeCell ref="AD192:AD193"/>
    <mergeCell ref="AE192:AE193"/>
    <mergeCell ref="AF192:AF193"/>
    <mergeCell ref="AG192:AG193"/>
    <mergeCell ref="AH192:AH193"/>
    <mergeCell ref="Y196:Y197"/>
    <mergeCell ref="Z196:Z197"/>
    <mergeCell ref="AA196:AA197"/>
    <mergeCell ref="AB196:AB197"/>
    <mergeCell ref="AC196:AC197"/>
    <mergeCell ref="AF190:AF191"/>
    <mergeCell ref="AG190:AG191"/>
    <mergeCell ref="AH190:AH191"/>
    <mergeCell ref="W192:W193"/>
    <mergeCell ref="X192:X193"/>
    <mergeCell ref="Y192:Y193"/>
    <mergeCell ref="Z192:Z193"/>
    <mergeCell ref="AA192:AA193"/>
    <mergeCell ref="AB192:AB193"/>
    <mergeCell ref="AC192:AC193"/>
    <mergeCell ref="AD196:AD197"/>
    <mergeCell ref="AE196:AE197"/>
    <mergeCell ref="AH196:AH197"/>
    <mergeCell ref="AH188:AH189"/>
    <mergeCell ref="W190:W191"/>
    <mergeCell ref="X190:X191"/>
    <mergeCell ref="Y190:Y191"/>
    <mergeCell ref="Z190:Z191"/>
    <mergeCell ref="AA190:AA191"/>
    <mergeCell ref="AB190:AB191"/>
    <mergeCell ref="AC190:AC191"/>
    <mergeCell ref="AD190:AD191"/>
    <mergeCell ref="AE190:AE191"/>
    <mergeCell ref="AB188:AB189"/>
    <mergeCell ref="AC188:AC189"/>
    <mergeCell ref="AD188:AD189"/>
    <mergeCell ref="AE188:AE189"/>
    <mergeCell ref="AF188:AF189"/>
    <mergeCell ref="AG188:AG189"/>
    <mergeCell ref="AD186:AD187"/>
    <mergeCell ref="AE186:AE187"/>
    <mergeCell ref="AF186:AF187"/>
    <mergeCell ref="AG186:AG187"/>
    <mergeCell ref="AH186:AH187"/>
    <mergeCell ref="W188:W189"/>
    <mergeCell ref="X188:X189"/>
    <mergeCell ref="Y188:Y189"/>
    <mergeCell ref="Z188:Z189"/>
    <mergeCell ref="AA188:AA189"/>
    <mergeCell ref="AD184:AD185"/>
    <mergeCell ref="AE184:AE185"/>
    <mergeCell ref="AH184:AH185"/>
    <mergeCell ref="W186:W187"/>
    <mergeCell ref="X186:X187"/>
    <mergeCell ref="Y186:Y187"/>
    <mergeCell ref="Z186:Z187"/>
    <mergeCell ref="AA186:AA187"/>
    <mergeCell ref="AB186:AB187"/>
    <mergeCell ref="AC186:AC187"/>
    <mergeCell ref="AD180:AD181"/>
    <mergeCell ref="AE180:AE181"/>
    <mergeCell ref="AF180:AF181"/>
    <mergeCell ref="AG180:AG181"/>
    <mergeCell ref="AH180:AH181"/>
    <mergeCell ref="Y184:Y185"/>
    <mergeCell ref="Z184:Z185"/>
    <mergeCell ref="AA184:AA185"/>
    <mergeCell ref="AB184:AB185"/>
    <mergeCell ref="AC184:AC185"/>
    <mergeCell ref="Y174:Y175"/>
    <mergeCell ref="Z174:Z175"/>
    <mergeCell ref="AA174:AA175"/>
    <mergeCell ref="AB174:AB175"/>
    <mergeCell ref="AC174:AC175"/>
    <mergeCell ref="AF178:AF179"/>
    <mergeCell ref="AG178:AG179"/>
    <mergeCell ref="AH178:AH179"/>
    <mergeCell ref="W180:W181"/>
    <mergeCell ref="X180:X181"/>
    <mergeCell ref="Y180:Y181"/>
    <mergeCell ref="Z180:Z181"/>
    <mergeCell ref="AA180:AA181"/>
    <mergeCell ref="AB180:AB181"/>
    <mergeCell ref="AC180:AC181"/>
    <mergeCell ref="AH176:AH177"/>
    <mergeCell ref="W178:W179"/>
    <mergeCell ref="X178:X179"/>
    <mergeCell ref="Y178:Y179"/>
    <mergeCell ref="Z178:Z179"/>
    <mergeCell ref="AA178:AA179"/>
    <mergeCell ref="AB178:AB179"/>
    <mergeCell ref="AC178:AC179"/>
    <mergeCell ref="AD178:AD179"/>
    <mergeCell ref="AE178:AE179"/>
    <mergeCell ref="AB176:AB177"/>
    <mergeCell ref="AC176:AC177"/>
    <mergeCell ref="AD176:AD177"/>
    <mergeCell ref="AE176:AE177"/>
    <mergeCell ref="AF176:AF177"/>
    <mergeCell ref="AG176:AG177"/>
    <mergeCell ref="AD168:AD169"/>
    <mergeCell ref="AE168:AE169"/>
    <mergeCell ref="AF168:AF169"/>
    <mergeCell ref="AG168:AG169"/>
    <mergeCell ref="AH168:AH169"/>
    <mergeCell ref="Y172:Y173"/>
    <mergeCell ref="Z172:Z173"/>
    <mergeCell ref="AA172:AA173"/>
    <mergeCell ref="AB172:AB173"/>
    <mergeCell ref="AC172:AC173"/>
    <mergeCell ref="AF166:AF167"/>
    <mergeCell ref="AG166:AG167"/>
    <mergeCell ref="AH166:AH167"/>
    <mergeCell ref="W168:W169"/>
    <mergeCell ref="X168:X169"/>
    <mergeCell ref="Y168:Y169"/>
    <mergeCell ref="Z168:Z169"/>
    <mergeCell ref="AA168:AA169"/>
    <mergeCell ref="AB168:AB169"/>
    <mergeCell ref="AC168:AC169"/>
    <mergeCell ref="AD172:AD173"/>
    <mergeCell ref="AE172:AE173"/>
    <mergeCell ref="AH172:AH173"/>
    <mergeCell ref="AH164:AH165"/>
    <mergeCell ref="W166:W167"/>
    <mergeCell ref="X166:X167"/>
    <mergeCell ref="Y166:Y167"/>
    <mergeCell ref="Z166:Z167"/>
    <mergeCell ref="AA166:AA167"/>
    <mergeCell ref="AB166:AB167"/>
    <mergeCell ref="AC166:AC167"/>
    <mergeCell ref="AD166:AD167"/>
    <mergeCell ref="AE166:AE167"/>
    <mergeCell ref="AB164:AB165"/>
    <mergeCell ref="AC164:AC165"/>
    <mergeCell ref="AD164:AD165"/>
    <mergeCell ref="AE164:AE165"/>
    <mergeCell ref="AF164:AF165"/>
    <mergeCell ref="AG164:AG165"/>
    <mergeCell ref="AD162:AD163"/>
    <mergeCell ref="AE162:AE163"/>
    <mergeCell ref="AF162:AF163"/>
    <mergeCell ref="AG162:AG163"/>
    <mergeCell ref="AH162:AH163"/>
    <mergeCell ref="W164:W165"/>
    <mergeCell ref="X164:X165"/>
    <mergeCell ref="Y164:Y165"/>
    <mergeCell ref="Z164:Z165"/>
    <mergeCell ref="AA164:AA165"/>
    <mergeCell ref="AD160:AD161"/>
    <mergeCell ref="AE160:AE161"/>
    <mergeCell ref="AH160:AH161"/>
    <mergeCell ref="W162:W163"/>
    <mergeCell ref="X162:X163"/>
    <mergeCell ref="Y162:Y163"/>
    <mergeCell ref="Z162:Z163"/>
    <mergeCell ref="AA162:AA163"/>
    <mergeCell ref="AB162:AB163"/>
    <mergeCell ref="AC162:AC163"/>
    <mergeCell ref="AD156:AD157"/>
    <mergeCell ref="AE156:AE157"/>
    <mergeCell ref="AF156:AF157"/>
    <mergeCell ref="AG156:AG157"/>
    <mergeCell ref="AH156:AH157"/>
    <mergeCell ref="Y160:Y161"/>
    <mergeCell ref="Z160:Z161"/>
    <mergeCell ref="AA160:AA161"/>
    <mergeCell ref="AB160:AB161"/>
    <mergeCell ref="AC160:AC161"/>
    <mergeCell ref="Y150:Y151"/>
    <mergeCell ref="Z150:Z151"/>
    <mergeCell ref="AA150:AA151"/>
    <mergeCell ref="AB150:AB151"/>
    <mergeCell ref="AC150:AC151"/>
    <mergeCell ref="AF154:AF155"/>
    <mergeCell ref="AG154:AG155"/>
    <mergeCell ref="AH154:AH155"/>
    <mergeCell ref="W156:W157"/>
    <mergeCell ref="X156:X157"/>
    <mergeCell ref="Y156:Y157"/>
    <mergeCell ref="Z156:Z157"/>
    <mergeCell ref="AA156:AA157"/>
    <mergeCell ref="AB156:AB157"/>
    <mergeCell ref="AC156:AC157"/>
    <mergeCell ref="AH152:AH153"/>
    <mergeCell ref="W154:W155"/>
    <mergeCell ref="X154:X155"/>
    <mergeCell ref="Y154:Y155"/>
    <mergeCell ref="Z154:Z155"/>
    <mergeCell ref="AA154:AA155"/>
    <mergeCell ref="AB154:AB155"/>
    <mergeCell ref="AC154:AC155"/>
    <mergeCell ref="AD154:AD155"/>
    <mergeCell ref="AE154:AE155"/>
    <mergeCell ref="AB152:AB153"/>
    <mergeCell ref="AC152:AC153"/>
    <mergeCell ref="AD152:AD153"/>
    <mergeCell ref="AE152:AE153"/>
    <mergeCell ref="AF152:AF153"/>
    <mergeCell ref="AG152:AG153"/>
    <mergeCell ref="AD144:AD145"/>
    <mergeCell ref="AE144:AE145"/>
    <mergeCell ref="AF144:AF145"/>
    <mergeCell ref="AG144:AG145"/>
    <mergeCell ref="AH144:AH145"/>
    <mergeCell ref="Y148:Y149"/>
    <mergeCell ref="Z148:Z149"/>
    <mergeCell ref="AA148:AA149"/>
    <mergeCell ref="AB148:AB149"/>
    <mergeCell ref="AC148:AC149"/>
    <mergeCell ref="AF142:AF143"/>
    <mergeCell ref="AG142:AG143"/>
    <mergeCell ref="AH142:AH143"/>
    <mergeCell ref="W144:W145"/>
    <mergeCell ref="X144:X145"/>
    <mergeCell ref="Y144:Y145"/>
    <mergeCell ref="Z144:Z145"/>
    <mergeCell ref="AA144:AA145"/>
    <mergeCell ref="AB144:AB145"/>
    <mergeCell ref="AC144:AC145"/>
    <mergeCell ref="AD148:AD149"/>
    <mergeCell ref="AE148:AE149"/>
    <mergeCell ref="AH148:AH149"/>
    <mergeCell ref="AH140:AH141"/>
    <mergeCell ref="W142:W143"/>
    <mergeCell ref="X142:X143"/>
    <mergeCell ref="Y142:Y143"/>
    <mergeCell ref="Z142:Z143"/>
    <mergeCell ref="AA142:AA143"/>
    <mergeCell ref="AB142:AB143"/>
    <mergeCell ref="AC142:AC143"/>
    <mergeCell ref="AD142:AD143"/>
    <mergeCell ref="AE142:AE143"/>
    <mergeCell ref="AB140:AB141"/>
    <mergeCell ref="AC140:AC141"/>
    <mergeCell ref="AD140:AD141"/>
    <mergeCell ref="AE140:AE141"/>
    <mergeCell ref="AF140:AF141"/>
    <mergeCell ref="AG140:AG141"/>
    <mergeCell ref="AD138:AD139"/>
    <mergeCell ref="AE138:AE139"/>
    <mergeCell ref="AF138:AF139"/>
    <mergeCell ref="AG138:AG139"/>
    <mergeCell ref="AH138:AH139"/>
    <mergeCell ref="W140:W141"/>
    <mergeCell ref="X140:X141"/>
    <mergeCell ref="Y140:Y141"/>
    <mergeCell ref="Z140:Z141"/>
    <mergeCell ref="AA140:AA141"/>
    <mergeCell ref="AD136:AD137"/>
    <mergeCell ref="AE136:AE137"/>
    <mergeCell ref="AH136:AH137"/>
    <mergeCell ref="W138:W139"/>
    <mergeCell ref="X138:X139"/>
    <mergeCell ref="Y138:Y139"/>
    <mergeCell ref="Z138:Z139"/>
    <mergeCell ref="AA138:AA139"/>
    <mergeCell ref="AB138:AB139"/>
    <mergeCell ref="AC138:AC139"/>
    <mergeCell ref="AD132:AD133"/>
    <mergeCell ref="AE132:AE133"/>
    <mergeCell ref="AF132:AF133"/>
    <mergeCell ref="AG132:AG133"/>
    <mergeCell ref="AH132:AH133"/>
    <mergeCell ref="Y136:Y137"/>
    <mergeCell ref="Z136:Z137"/>
    <mergeCell ref="AA136:AA137"/>
    <mergeCell ref="AB136:AB137"/>
    <mergeCell ref="AC136:AC137"/>
    <mergeCell ref="Y126:Y127"/>
    <mergeCell ref="Z126:Z127"/>
    <mergeCell ref="AA126:AA127"/>
    <mergeCell ref="AB126:AB127"/>
    <mergeCell ref="AC126:AC127"/>
    <mergeCell ref="AF130:AF131"/>
    <mergeCell ref="AG130:AG131"/>
    <mergeCell ref="AH130:AH131"/>
    <mergeCell ref="W132:W133"/>
    <mergeCell ref="X132:X133"/>
    <mergeCell ref="Y132:Y133"/>
    <mergeCell ref="Z132:Z133"/>
    <mergeCell ref="AA132:AA133"/>
    <mergeCell ref="AB132:AB133"/>
    <mergeCell ref="AC132:AC133"/>
    <mergeCell ref="AH128:AH129"/>
    <mergeCell ref="W130:W131"/>
    <mergeCell ref="X130:X131"/>
    <mergeCell ref="Y130:Y131"/>
    <mergeCell ref="Z130:Z131"/>
    <mergeCell ref="AA130:AA131"/>
    <mergeCell ref="AB130:AB131"/>
    <mergeCell ref="AC130:AC131"/>
    <mergeCell ref="AD130:AD131"/>
    <mergeCell ref="AE130:AE131"/>
    <mergeCell ref="AB128:AB129"/>
    <mergeCell ref="AC128:AC129"/>
    <mergeCell ref="AD128:AD129"/>
    <mergeCell ref="AE128:AE129"/>
    <mergeCell ref="AF128:AF129"/>
    <mergeCell ref="AG128:AG129"/>
    <mergeCell ref="AD120:AD121"/>
    <mergeCell ref="AE120:AE121"/>
    <mergeCell ref="AF120:AF121"/>
    <mergeCell ref="AG120:AG121"/>
    <mergeCell ref="AH120:AH121"/>
    <mergeCell ref="Y124:Y125"/>
    <mergeCell ref="Z124:Z125"/>
    <mergeCell ref="AA124:AA125"/>
    <mergeCell ref="AB124:AB125"/>
    <mergeCell ref="AC124:AC125"/>
    <mergeCell ref="AF118:AF119"/>
    <mergeCell ref="AG118:AG119"/>
    <mergeCell ref="AH118:AH119"/>
    <mergeCell ref="W120:W121"/>
    <mergeCell ref="X120:X121"/>
    <mergeCell ref="Y120:Y121"/>
    <mergeCell ref="Z120:Z121"/>
    <mergeCell ref="AA120:AA121"/>
    <mergeCell ref="AB120:AB121"/>
    <mergeCell ref="AC120:AC121"/>
    <mergeCell ref="AD124:AD125"/>
    <mergeCell ref="AE124:AE125"/>
    <mergeCell ref="AH124:AH125"/>
    <mergeCell ref="AH116:AH117"/>
    <mergeCell ref="W118:W119"/>
    <mergeCell ref="X118:X119"/>
    <mergeCell ref="Y118:Y119"/>
    <mergeCell ref="Z118:Z119"/>
    <mergeCell ref="AA118:AA119"/>
    <mergeCell ref="AB118:AB119"/>
    <mergeCell ref="AC118:AC119"/>
    <mergeCell ref="AD118:AD119"/>
    <mergeCell ref="AE118:AE119"/>
    <mergeCell ref="AB116:AB117"/>
    <mergeCell ref="AC116:AC117"/>
    <mergeCell ref="AD116:AD117"/>
    <mergeCell ref="AE116:AE117"/>
    <mergeCell ref="AF116:AF117"/>
    <mergeCell ref="AG116:AG117"/>
    <mergeCell ref="AD114:AD115"/>
    <mergeCell ref="AE114:AE115"/>
    <mergeCell ref="AF114:AF115"/>
    <mergeCell ref="AG114:AG115"/>
    <mergeCell ref="AH114:AH115"/>
    <mergeCell ref="W116:W117"/>
    <mergeCell ref="X116:X117"/>
    <mergeCell ref="Y116:Y117"/>
    <mergeCell ref="Z116:Z117"/>
    <mergeCell ref="AA116:AA117"/>
    <mergeCell ref="AD112:AD113"/>
    <mergeCell ref="AE112:AE113"/>
    <mergeCell ref="AH112:AH113"/>
    <mergeCell ref="W114:W115"/>
    <mergeCell ref="X114:X115"/>
    <mergeCell ref="Y114:Y115"/>
    <mergeCell ref="Z114:Z115"/>
    <mergeCell ref="AA114:AA115"/>
    <mergeCell ref="AB114:AB115"/>
    <mergeCell ref="AC114:AC115"/>
    <mergeCell ref="AD108:AD109"/>
    <mergeCell ref="AE108:AE109"/>
    <mergeCell ref="AF108:AF109"/>
    <mergeCell ref="AG108:AG109"/>
    <mergeCell ref="AH108:AH109"/>
    <mergeCell ref="Y112:Y113"/>
    <mergeCell ref="Z112:Z113"/>
    <mergeCell ref="AA112:AA113"/>
    <mergeCell ref="AB112:AB113"/>
    <mergeCell ref="AC112:AC113"/>
    <mergeCell ref="Y102:Y103"/>
    <mergeCell ref="Z102:Z103"/>
    <mergeCell ref="AA102:AA103"/>
    <mergeCell ref="AB102:AB103"/>
    <mergeCell ref="AC102:AC103"/>
    <mergeCell ref="AF106:AF107"/>
    <mergeCell ref="AG106:AG107"/>
    <mergeCell ref="AH106:AH107"/>
    <mergeCell ref="W108:W109"/>
    <mergeCell ref="X108:X109"/>
    <mergeCell ref="Y108:Y109"/>
    <mergeCell ref="Z108:Z109"/>
    <mergeCell ref="AA108:AA109"/>
    <mergeCell ref="AB108:AB109"/>
    <mergeCell ref="AC108:AC109"/>
    <mergeCell ref="AH104:AH105"/>
    <mergeCell ref="W106:W107"/>
    <mergeCell ref="X106:X107"/>
    <mergeCell ref="Y106:Y107"/>
    <mergeCell ref="Z106:Z107"/>
    <mergeCell ref="AA106:AA107"/>
    <mergeCell ref="AB106:AB107"/>
    <mergeCell ref="AC106:AC107"/>
    <mergeCell ref="AD106:AD107"/>
    <mergeCell ref="AE106:AE107"/>
    <mergeCell ref="AB104:AB105"/>
    <mergeCell ref="AC104:AC105"/>
    <mergeCell ref="AD104:AD105"/>
    <mergeCell ref="AE104:AE105"/>
    <mergeCell ref="AF104:AF105"/>
    <mergeCell ref="AG104:AG105"/>
    <mergeCell ref="AD96:AD97"/>
    <mergeCell ref="AE96:AE97"/>
    <mergeCell ref="AF96:AF97"/>
    <mergeCell ref="AG96:AG97"/>
    <mergeCell ref="AH96:AH97"/>
    <mergeCell ref="Y100:Y101"/>
    <mergeCell ref="Z100:Z101"/>
    <mergeCell ref="AA100:AA101"/>
    <mergeCell ref="AB100:AB101"/>
    <mergeCell ref="AC100:AC101"/>
    <mergeCell ref="AF94:AF95"/>
    <mergeCell ref="AG94:AG95"/>
    <mergeCell ref="AH94:AH95"/>
    <mergeCell ref="W96:W97"/>
    <mergeCell ref="X96:X97"/>
    <mergeCell ref="Y96:Y97"/>
    <mergeCell ref="Z96:Z97"/>
    <mergeCell ref="AA96:AA97"/>
    <mergeCell ref="AB96:AB97"/>
    <mergeCell ref="AC96:AC97"/>
    <mergeCell ref="AD100:AD101"/>
    <mergeCell ref="AE100:AE101"/>
    <mergeCell ref="AH100:AH101"/>
    <mergeCell ref="AH92:AH93"/>
    <mergeCell ref="W94:W95"/>
    <mergeCell ref="X94:X95"/>
    <mergeCell ref="Y94:Y95"/>
    <mergeCell ref="Z94:Z95"/>
    <mergeCell ref="AA94:AA95"/>
    <mergeCell ref="AB94:AB95"/>
    <mergeCell ref="AC94:AC95"/>
    <mergeCell ref="AD94:AD95"/>
    <mergeCell ref="AE94:AE95"/>
    <mergeCell ref="AB92:AB93"/>
    <mergeCell ref="AC92:AC93"/>
    <mergeCell ref="AD92:AD93"/>
    <mergeCell ref="AE92:AE93"/>
    <mergeCell ref="AF92:AF93"/>
    <mergeCell ref="AG92:AG93"/>
    <mergeCell ref="AD90:AD91"/>
    <mergeCell ref="AE90:AE91"/>
    <mergeCell ref="AF90:AF91"/>
    <mergeCell ref="AG90:AG91"/>
    <mergeCell ref="AH90:AH91"/>
    <mergeCell ref="W92:W93"/>
    <mergeCell ref="X92:X93"/>
    <mergeCell ref="Y92:Y93"/>
    <mergeCell ref="Z92:Z93"/>
    <mergeCell ref="AA92:AA93"/>
    <mergeCell ref="AD88:AD89"/>
    <mergeCell ref="AE88:AE89"/>
    <mergeCell ref="AH88:AH89"/>
    <mergeCell ref="W90:W91"/>
    <mergeCell ref="X90:X91"/>
    <mergeCell ref="Y90:Y91"/>
    <mergeCell ref="Z90:Z91"/>
    <mergeCell ref="AA90:AA91"/>
    <mergeCell ref="AB90:AB91"/>
    <mergeCell ref="AC90:AC91"/>
    <mergeCell ref="AD84:AD85"/>
    <mergeCell ref="AE84:AE85"/>
    <mergeCell ref="AF84:AF85"/>
    <mergeCell ref="AG84:AG85"/>
    <mergeCell ref="AH84:AH85"/>
    <mergeCell ref="Y88:Y89"/>
    <mergeCell ref="Z88:Z89"/>
    <mergeCell ref="AA88:AA89"/>
    <mergeCell ref="AB88:AB89"/>
    <mergeCell ref="AC88:AC89"/>
    <mergeCell ref="Y78:Y79"/>
    <mergeCell ref="Z78:Z79"/>
    <mergeCell ref="AA78:AA79"/>
    <mergeCell ref="AB78:AB79"/>
    <mergeCell ref="AC78:AC79"/>
    <mergeCell ref="AF82:AF83"/>
    <mergeCell ref="AG82:AG83"/>
    <mergeCell ref="AH82:AH83"/>
    <mergeCell ref="W84:W85"/>
    <mergeCell ref="X84:X85"/>
    <mergeCell ref="Y84:Y85"/>
    <mergeCell ref="Z84:Z85"/>
    <mergeCell ref="AA84:AA85"/>
    <mergeCell ref="AB84:AB85"/>
    <mergeCell ref="AC84:AC85"/>
    <mergeCell ref="AH80:AH81"/>
    <mergeCell ref="W82:W83"/>
    <mergeCell ref="X82:X83"/>
    <mergeCell ref="Y82:Y83"/>
    <mergeCell ref="Z82:Z83"/>
    <mergeCell ref="AA82:AA83"/>
    <mergeCell ref="AB82:AB83"/>
    <mergeCell ref="AC82:AC83"/>
    <mergeCell ref="AD82:AD83"/>
    <mergeCell ref="AE82:AE83"/>
    <mergeCell ref="AB80:AB81"/>
    <mergeCell ref="AC80:AC81"/>
    <mergeCell ref="AD80:AD81"/>
    <mergeCell ref="AE80:AE81"/>
    <mergeCell ref="AF80:AF81"/>
    <mergeCell ref="AG80:AG81"/>
    <mergeCell ref="AD72:AD73"/>
    <mergeCell ref="AE72:AE73"/>
    <mergeCell ref="AF72:AF73"/>
    <mergeCell ref="AG72:AG73"/>
    <mergeCell ref="AH72:AH73"/>
    <mergeCell ref="Y76:Y77"/>
    <mergeCell ref="Z76:Z77"/>
    <mergeCell ref="AA76:AA77"/>
    <mergeCell ref="AB76:AB77"/>
    <mergeCell ref="AC76:AC77"/>
    <mergeCell ref="AF70:AF71"/>
    <mergeCell ref="AG70:AG71"/>
    <mergeCell ref="AH70:AH71"/>
    <mergeCell ref="W72:W73"/>
    <mergeCell ref="X72:X73"/>
    <mergeCell ref="Y72:Y73"/>
    <mergeCell ref="Z72:Z73"/>
    <mergeCell ref="AA72:AA73"/>
    <mergeCell ref="AB72:AB73"/>
    <mergeCell ref="AC72:AC73"/>
    <mergeCell ref="AD76:AD77"/>
    <mergeCell ref="AE76:AE77"/>
    <mergeCell ref="AH76:AH77"/>
    <mergeCell ref="AH68:AH69"/>
    <mergeCell ref="W70:W71"/>
    <mergeCell ref="X70:X71"/>
    <mergeCell ref="Y70:Y71"/>
    <mergeCell ref="Z70:Z71"/>
    <mergeCell ref="AA70:AA71"/>
    <mergeCell ref="AB70:AB71"/>
    <mergeCell ref="AC70:AC71"/>
    <mergeCell ref="AD70:AD71"/>
    <mergeCell ref="AE70:AE71"/>
    <mergeCell ref="AB68:AB69"/>
    <mergeCell ref="AC68:AC69"/>
    <mergeCell ref="AD68:AD69"/>
    <mergeCell ref="AE68:AE69"/>
    <mergeCell ref="AF68:AF69"/>
    <mergeCell ref="AG68:AG69"/>
    <mergeCell ref="AD66:AD67"/>
    <mergeCell ref="AE66:AE67"/>
    <mergeCell ref="AF66:AF67"/>
    <mergeCell ref="AG66:AG67"/>
    <mergeCell ref="AH66:AH67"/>
    <mergeCell ref="W68:W69"/>
    <mergeCell ref="X68:X69"/>
    <mergeCell ref="Y68:Y69"/>
    <mergeCell ref="Z68:Z69"/>
    <mergeCell ref="AA68:AA69"/>
    <mergeCell ref="AD64:AD65"/>
    <mergeCell ref="AE64:AE65"/>
    <mergeCell ref="AH64:AH65"/>
    <mergeCell ref="W66:W67"/>
    <mergeCell ref="X66:X67"/>
    <mergeCell ref="Y66:Y67"/>
    <mergeCell ref="Z66:Z67"/>
    <mergeCell ref="AA66:AA67"/>
    <mergeCell ref="AB66:AB67"/>
    <mergeCell ref="AC66:AC67"/>
    <mergeCell ref="AD60:AD61"/>
    <mergeCell ref="AE60:AE61"/>
    <mergeCell ref="AF60:AF61"/>
    <mergeCell ref="AG60:AG61"/>
    <mergeCell ref="AH60:AH61"/>
    <mergeCell ref="Y64:Y65"/>
    <mergeCell ref="Z64:Z65"/>
    <mergeCell ref="AA64:AA65"/>
    <mergeCell ref="AB64:AB65"/>
    <mergeCell ref="AC64:AC65"/>
    <mergeCell ref="AF58:AF59"/>
    <mergeCell ref="AG58:AG59"/>
    <mergeCell ref="AH58:AH59"/>
    <mergeCell ref="W60:W61"/>
    <mergeCell ref="X60:X61"/>
    <mergeCell ref="Y60:Y61"/>
    <mergeCell ref="Z60:Z61"/>
    <mergeCell ref="AA60:AA61"/>
    <mergeCell ref="AB60:AB61"/>
    <mergeCell ref="AC60:AC61"/>
    <mergeCell ref="AH56:AH57"/>
    <mergeCell ref="W58:W59"/>
    <mergeCell ref="X58:X59"/>
    <mergeCell ref="Y58:Y59"/>
    <mergeCell ref="Z58:Z59"/>
    <mergeCell ref="AA58:AA59"/>
    <mergeCell ref="AB58:AB59"/>
    <mergeCell ref="AC58:AC59"/>
    <mergeCell ref="AD58:AD59"/>
    <mergeCell ref="AE58:AE59"/>
    <mergeCell ref="AB56:AB57"/>
    <mergeCell ref="AC56:AC57"/>
    <mergeCell ref="AD56:AD57"/>
    <mergeCell ref="AE56:AE57"/>
    <mergeCell ref="AF56:AF57"/>
    <mergeCell ref="AG56:AG57"/>
    <mergeCell ref="AD54:AD55"/>
    <mergeCell ref="AE54:AE55"/>
    <mergeCell ref="AF54:AF55"/>
    <mergeCell ref="AG54:AG55"/>
    <mergeCell ref="AH54:AH55"/>
    <mergeCell ref="W56:W57"/>
    <mergeCell ref="X56:X57"/>
    <mergeCell ref="Y56:Y57"/>
    <mergeCell ref="Z56:Z57"/>
    <mergeCell ref="AA56:AA57"/>
    <mergeCell ref="X54:X55"/>
    <mergeCell ref="Y54:Y55"/>
    <mergeCell ref="Z54:Z55"/>
    <mergeCell ref="AA54:AA55"/>
    <mergeCell ref="AB54:AB55"/>
    <mergeCell ref="AC54:AC55"/>
    <mergeCell ref="AF48:AF49"/>
    <mergeCell ref="AG48:AG49"/>
    <mergeCell ref="AH48:AH49"/>
    <mergeCell ref="AB52:AB53"/>
    <mergeCell ref="AC52:AC53"/>
    <mergeCell ref="AD52:AD53"/>
    <mergeCell ref="AE52:AE53"/>
    <mergeCell ref="AF52:AF53"/>
    <mergeCell ref="AG52:AG53"/>
    <mergeCell ref="AH52:AH53"/>
    <mergeCell ref="AH46:AH47"/>
    <mergeCell ref="W48:W49"/>
    <mergeCell ref="X48:X49"/>
    <mergeCell ref="Y48:Y49"/>
    <mergeCell ref="Z48:Z49"/>
    <mergeCell ref="AA48:AA49"/>
    <mergeCell ref="AB48:AB49"/>
    <mergeCell ref="AC48:AC49"/>
    <mergeCell ref="AD48:AD49"/>
    <mergeCell ref="AE48:AE49"/>
    <mergeCell ref="AB46:AB47"/>
    <mergeCell ref="AC46:AC47"/>
    <mergeCell ref="AD46:AD47"/>
    <mergeCell ref="AE46:AE47"/>
    <mergeCell ref="AF46:AF47"/>
    <mergeCell ref="AG46:AG47"/>
    <mergeCell ref="AD44:AD45"/>
    <mergeCell ref="AE44:AE45"/>
    <mergeCell ref="AF44:AF45"/>
    <mergeCell ref="AG44:AG45"/>
    <mergeCell ref="AH44:AH45"/>
    <mergeCell ref="W46:W47"/>
    <mergeCell ref="X46:X47"/>
    <mergeCell ref="Y46:Y47"/>
    <mergeCell ref="Z46:Z47"/>
    <mergeCell ref="AA46:AA47"/>
    <mergeCell ref="AF42:AF43"/>
    <mergeCell ref="AG42:AG43"/>
    <mergeCell ref="AH42:AH43"/>
    <mergeCell ref="W44:W45"/>
    <mergeCell ref="X44:X45"/>
    <mergeCell ref="Y44:Y45"/>
    <mergeCell ref="Z44:Z45"/>
    <mergeCell ref="AA44:AA45"/>
    <mergeCell ref="AB44:AB45"/>
    <mergeCell ref="AC44:AC45"/>
    <mergeCell ref="Z42:Z43"/>
    <mergeCell ref="AA42:AA43"/>
    <mergeCell ref="AB42:AB43"/>
    <mergeCell ref="AC42:AC43"/>
    <mergeCell ref="AD42:AD43"/>
    <mergeCell ref="AE42:AE43"/>
    <mergeCell ref="AF36:AF37"/>
    <mergeCell ref="AG36:AG37"/>
    <mergeCell ref="AH36:AH37"/>
    <mergeCell ref="AA40:AA41"/>
    <mergeCell ref="AB40:AB41"/>
    <mergeCell ref="AC40:AC41"/>
    <mergeCell ref="AD40:AD41"/>
    <mergeCell ref="AE40:AE41"/>
    <mergeCell ref="AF40:AF41"/>
    <mergeCell ref="AG40:AG41"/>
    <mergeCell ref="W40:W41"/>
    <mergeCell ref="X40:X41"/>
    <mergeCell ref="Y40:Y41"/>
    <mergeCell ref="Z40:Z41"/>
    <mergeCell ref="AH40:AH41"/>
    <mergeCell ref="W42:W43"/>
    <mergeCell ref="AH34:AH35"/>
    <mergeCell ref="W36:W37"/>
    <mergeCell ref="X36:X37"/>
    <mergeCell ref="Y36:Y37"/>
    <mergeCell ref="Z36:Z37"/>
    <mergeCell ref="AA36:AA37"/>
    <mergeCell ref="AB36:AB37"/>
    <mergeCell ref="AC36:AC37"/>
    <mergeCell ref="AD36:AD37"/>
    <mergeCell ref="AE36:AE37"/>
    <mergeCell ref="AB34:AB35"/>
    <mergeCell ref="AC34:AC35"/>
    <mergeCell ref="AD34:AD35"/>
    <mergeCell ref="AE34:AE35"/>
    <mergeCell ref="AF34:AF35"/>
    <mergeCell ref="AG34:AG35"/>
    <mergeCell ref="AD32:AD33"/>
    <mergeCell ref="AE32:AE33"/>
    <mergeCell ref="AF32:AF33"/>
    <mergeCell ref="AG32:AG33"/>
    <mergeCell ref="AH32:AH33"/>
    <mergeCell ref="W34:W35"/>
    <mergeCell ref="X34:X35"/>
    <mergeCell ref="Y34:Y35"/>
    <mergeCell ref="Z34:Z35"/>
    <mergeCell ref="AA34:AA35"/>
    <mergeCell ref="AC30:AC31"/>
    <mergeCell ref="AD30:AD31"/>
    <mergeCell ref="AE30:AE31"/>
    <mergeCell ref="AF30:AF31"/>
    <mergeCell ref="AG30:AG31"/>
    <mergeCell ref="AH30:AH31"/>
    <mergeCell ref="W30:W31"/>
    <mergeCell ref="X30:X31"/>
    <mergeCell ref="Y30:Y31"/>
    <mergeCell ref="Z30:Z31"/>
    <mergeCell ref="AA30:AA31"/>
    <mergeCell ref="AB30:AB31"/>
    <mergeCell ref="AC28:AC29"/>
    <mergeCell ref="AD28:AD29"/>
    <mergeCell ref="AE28:AE29"/>
    <mergeCell ref="AF28:AF29"/>
    <mergeCell ref="AG28:AG29"/>
    <mergeCell ref="AH28:AH29"/>
    <mergeCell ref="W28:W29"/>
    <mergeCell ref="X28:X29"/>
    <mergeCell ref="Y28:Y29"/>
    <mergeCell ref="Z28:Z29"/>
    <mergeCell ref="AA28:AA29"/>
    <mergeCell ref="AB28:AB29"/>
    <mergeCell ref="AC24:AC25"/>
    <mergeCell ref="AD24:AD25"/>
    <mergeCell ref="AE24:AE25"/>
    <mergeCell ref="AF24:AF25"/>
    <mergeCell ref="AG24:AG25"/>
    <mergeCell ref="AH24:AH25"/>
    <mergeCell ref="W24:W25"/>
    <mergeCell ref="X24:X25"/>
    <mergeCell ref="Y24:Y25"/>
    <mergeCell ref="Z24:Z25"/>
    <mergeCell ref="AA24:AA25"/>
    <mergeCell ref="AB24:AB25"/>
    <mergeCell ref="AC22:AC23"/>
    <mergeCell ref="AD22:AD23"/>
    <mergeCell ref="AE22:AE23"/>
    <mergeCell ref="AF22:AF23"/>
    <mergeCell ref="AG22:AG23"/>
    <mergeCell ref="AH22:AH23"/>
    <mergeCell ref="W22:W23"/>
    <mergeCell ref="X22:X23"/>
    <mergeCell ref="Y22:Y23"/>
    <mergeCell ref="Z22:Z23"/>
    <mergeCell ref="AA22:AA23"/>
    <mergeCell ref="AB22:AB23"/>
    <mergeCell ref="AC20:AC21"/>
    <mergeCell ref="AD20:AD21"/>
    <mergeCell ref="AE20:AE21"/>
    <mergeCell ref="AF20:AF21"/>
    <mergeCell ref="AG20:AG21"/>
    <mergeCell ref="AH20:AH21"/>
    <mergeCell ref="W20:W21"/>
    <mergeCell ref="X20:X21"/>
    <mergeCell ref="Y20:Y21"/>
    <mergeCell ref="Z20:Z21"/>
    <mergeCell ref="AA20:AA21"/>
    <mergeCell ref="AB20:AB21"/>
    <mergeCell ref="AC18:AC19"/>
    <mergeCell ref="AD18:AD19"/>
    <mergeCell ref="AE18:AE19"/>
    <mergeCell ref="AF18:AF19"/>
    <mergeCell ref="AG18:AG19"/>
    <mergeCell ref="AH18:AH19"/>
    <mergeCell ref="W18:W19"/>
    <mergeCell ref="X18:X19"/>
    <mergeCell ref="Y18:Y19"/>
    <mergeCell ref="Z18:Z19"/>
    <mergeCell ref="AA18:AA19"/>
    <mergeCell ref="AB18:AB19"/>
    <mergeCell ref="AC16:AC17"/>
    <mergeCell ref="AD16:AD17"/>
    <mergeCell ref="AE16:AE17"/>
    <mergeCell ref="AF16:AF17"/>
    <mergeCell ref="AG16:AG17"/>
    <mergeCell ref="AH16:AH17"/>
    <mergeCell ref="W16:W17"/>
    <mergeCell ref="X16:X17"/>
    <mergeCell ref="Y16:Y17"/>
    <mergeCell ref="Z16:Z17"/>
    <mergeCell ref="AA16:AA17"/>
    <mergeCell ref="AB16:AB17"/>
    <mergeCell ref="AC12:AC13"/>
    <mergeCell ref="AD12:AD13"/>
    <mergeCell ref="AE12:AE13"/>
    <mergeCell ref="AF12:AF13"/>
    <mergeCell ref="AG12:AG13"/>
    <mergeCell ref="AH12:AH13"/>
    <mergeCell ref="AA8:AA9"/>
    <mergeCell ref="AB8:AB9"/>
    <mergeCell ref="W6:W7"/>
    <mergeCell ref="X6:X7"/>
    <mergeCell ref="Y6:Y7"/>
    <mergeCell ref="Z6:Z7"/>
    <mergeCell ref="AA6:AA7"/>
    <mergeCell ref="AB6:AB7"/>
    <mergeCell ref="W4:W5"/>
    <mergeCell ref="X4:X5"/>
    <mergeCell ref="AC10:AC11"/>
    <mergeCell ref="AD10:AD11"/>
    <mergeCell ref="AE10:AE11"/>
    <mergeCell ref="AF10:AF11"/>
    <mergeCell ref="AG10:AG11"/>
    <mergeCell ref="AH10:AH11"/>
    <mergeCell ref="AC8:AC9"/>
    <mergeCell ref="AD8:AD9"/>
    <mergeCell ref="AE8:AE9"/>
    <mergeCell ref="AF8:AF9"/>
    <mergeCell ref="AG8:AG9"/>
    <mergeCell ref="AH8:AH9"/>
    <mergeCell ref="AC6:AC7"/>
    <mergeCell ref="AD6:AD7"/>
    <mergeCell ref="AE6:AE7"/>
    <mergeCell ref="AF6:AF7"/>
    <mergeCell ref="AG6:AG7"/>
    <mergeCell ref="AH6:AH7"/>
    <mergeCell ref="B412:B422"/>
    <mergeCell ref="AL412:AL416"/>
    <mergeCell ref="AN412:AP412"/>
    <mergeCell ref="G416:J416"/>
    <mergeCell ref="AL417:AL421"/>
    <mergeCell ref="AN417:AP417"/>
    <mergeCell ref="W412:W413"/>
    <mergeCell ref="X412:X413"/>
    <mergeCell ref="AF412:AF413"/>
    <mergeCell ref="AG412:AG413"/>
    <mergeCell ref="B376:B386"/>
    <mergeCell ref="AL376:AL380"/>
    <mergeCell ref="AN376:AP376"/>
    <mergeCell ref="G380:J380"/>
    <mergeCell ref="AL381:AL385"/>
    <mergeCell ref="AN381:AP381"/>
    <mergeCell ref="W376:W377"/>
    <mergeCell ref="X376:X377"/>
    <mergeCell ref="AD376:AD377"/>
    <mergeCell ref="AE376:AE377"/>
    <mergeCell ref="AH376:AH377"/>
    <mergeCell ref="W378:W379"/>
    <mergeCell ref="X378:X379"/>
    <mergeCell ref="Y378:Y379"/>
    <mergeCell ref="Z378:Z379"/>
    <mergeCell ref="AA378:AA379"/>
    <mergeCell ref="AB378:AB379"/>
    <mergeCell ref="AC378:AC379"/>
    <mergeCell ref="Y376:Y377"/>
    <mergeCell ref="Z376:Z377"/>
    <mergeCell ref="AA376:AA377"/>
    <mergeCell ref="AB376:AB377"/>
    <mergeCell ref="AN364:AP364"/>
    <mergeCell ref="G368:J368"/>
    <mergeCell ref="AL369:AL373"/>
    <mergeCell ref="AN369:AP369"/>
    <mergeCell ref="W364:W365"/>
    <mergeCell ref="X364:X365"/>
    <mergeCell ref="AF364:AF365"/>
    <mergeCell ref="AG364:AG365"/>
    <mergeCell ref="Y4:Y5"/>
    <mergeCell ref="Z4:Z5"/>
    <mergeCell ref="AA4:AA5"/>
    <mergeCell ref="AB4:AB5"/>
    <mergeCell ref="B400:B410"/>
    <mergeCell ref="AL400:AL404"/>
    <mergeCell ref="AN400:AP400"/>
    <mergeCell ref="G404:J404"/>
    <mergeCell ref="AL405:AL409"/>
    <mergeCell ref="AN405:AP405"/>
    <mergeCell ref="W400:W401"/>
    <mergeCell ref="X400:X401"/>
    <mergeCell ref="AF400:AF401"/>
    <mergeCell ref="AG400:AG401"/>
    <mergeCell ref="AC4:AC5"/>
    <mergeCell ref="AD4:AD5"/>
    <mergeCell ref="AE4:AE5"/>
    <mergeCell ref="AF4:AF5"/>
    <mergeCell ref="AG4:AG5"/>
    <mergeCell ref="AH4:AH5"/>
    <mergeCell ref="W12:W13"/>
    <mergeCell ref="X12:X13"/>
    <mergeCell ref="Y12:Y13"/>
    <mergeCell ref="Z12:Z13"/>
    <mergeCell ref="B340:B350"/>
    <mergeCell ref="AL340:AL344"/>
    <mergeCell ref="AN340:AP340"/>
    <mergeCell ref="G344:J344"/>
    <mergeCell ref="AL345:AL349"/>
    <mergeCell ref="AN345:AP345"/>
    <mergeCell ref="W340:W341"/>
    <mergeCell ref="X340:X341"/>
    <mergeCell ref="AF340:AF341"/>
    <mergeCell ref="AG340:AG341"/>
    <mergeCell ref="B388:B398"/>
    <mergeCell ref="AL388:AL392"/>
    <mergeCell ref="AN388:AP388"/>
    <mergeCell ref="G392:J392"/>
    <mergeCell ref="AL393:AL397"/>
    <mergeCell ref="AN393:AP393"/>
    <mergeCell ref="W388:W389"/>
    <mergeCell ref="X388:X389"/>
    <mergeCell ref="AF388:AF389"/>
    <mergeCell ref="AG388:AG389"/>
    <mergeCell ref="B352:B362"/>
    <mergeCell ref="AL352:AL356"/>
    <mergeCell ref="AN352:AP352"/>
    <mergeCell ref="G356:J356"/>
    <mergeCell ref="AL357:AL361"/>
    <mergeCell ref="AN357:AP357"/>
    <mergeCell ref="W352:W353"/>
    <mergeCell ref="X352:X353"/>
    <mergeCell ref="AF352:AF353"/>
    <mergeCell ref="AG352:AG353"/>
    <mergeCell ref="B364:B374"/>
    <mergeCell ref="AL364:AL368"/>
    <mergeCell ref="B316:B326"/>
    <mergeCell ref="AL316:AL320"/>
    <mergeCell ref="AN316:AP316"/>
    <mergeCell ref="G320:J320"/>
    <mergeCell ref="AL321:AL325"/>
    <mergeCell ref="AN321:AP321"/>
    <mergeCell ref="W316:W317"/>
    <mergeCell ref="X316:X317"/>
    <mergeCell ref="AF316:AF317"/>
    <mergeCell ref="AG316:AG317"/>
    <mergeCell ref="B328:B338"/>
    <mergeCell ref="AL328:AL332"/>
    <mergeCell ref="AN328:AP328"/>
    <mergeCell ref="G332:J332"/>
    <mergeCell ref="AL333:AL337"/>
    <mergeCell ref="AN333:AP333"/>
    <mergeCell ref="W328:W329"/>
    <mergeCell ref="X328:X329"/>
    <mergeCell ref="AF328:AF329"/>
    <mergeCell ref="AG328:AG329"/>
    <mergeCell ref="AD318:AD319"/>
    <mergeCell ref="AE318:AE319"/>
    <mergeCell ref="AF318:AF319"/>
    <mergeCell ref="AG318:AG319"/>
    <mergeCell ref="AH318:AH319"/>
    <mergeCell ref="W320:W321"/>
    <mergeCell ref="X320:X321"/>
    <mergeCell ref="Y320:Y321"/>
    <mergeCell ref="Z320:Z321"/>
    <mergeCell ref="AA320:AA321"/>
    <mergeCell ref="W318:W319"/>
    <mergeCell ref="X318:X319"/>
    <mergeCell ref="B292:B302"/>
    <mergeCell ref="AL292:AL296"/>
    <mergeCell ref="AN292:AP292"/>
    <mergeCell ref="G296:J296"/>
    <mergeCell ref="AL297:AL301"/>
    <mergeCell ref="AN297:AP297"/>
    <mergeCell ref="W292:W293"/>
    <mergeCell ref="X292:X293"/>
    <mergeCell ref="AF292:AF293"/>
    <mergeCell ref="AG292:AG293"/>
    <mergeCell ref="B304:B314"/>
    <mergeCell ref="AL304:AL308"/>
    <mergeCell ref="AN304:AP304"/>
    <mergeCell ref="G308:J308"/>
    <mergeCell ref="AL309:AL313"/>
    <mergeCell ref="AN309:AP309"/>
    <mergeCell ref="W304:W305"/>
    <mergeCell ref="X304:X305"/>
    <mergeCell ref="AF304:AF305"/>
    <mergeCell ref="AG304:AG305"/>
    <mergeCell ref="AD294:AD295"/>
    <mergeCell ref="AE294:AE295"/>
    <mergeCell ref="AF294:AF295"/>
    <mergeCell ref="AG294:AG295"/>
    <mergeCell ref="AH294:AH295"/>
    <mergeCell ref="W296:W297"/>
    <mergeCell ref="X296:X297"/>
    <mergeCell ref="Y296:Y297"/>
    <mergeCell ref="Z296:Z297"/>
    <mergeCell ref="AA296:AA297"/>
    <mergeCell ref="W294:W295"/>
    <mergeCell ref="X294:X295"/>
    <mergeCell ref="B268:B278"/>
    <mergeCell ref="AL268:AL272"/>
    <mergeCell ref="AN268:AP268"/>
    <mergeCell ref="G272:J272"/>
    <mergeCell ref="AL273:AL277"/>
    <mergeCell ref="AN273:AP273"/>
    <mergeCell ref="W268:W269"/>
    <mergeCell ref="X268:X269"/>
    <mergeCell ref="AF268:AF269"/>
    <mergeCell ref="AG268:AG269"/>
    <mergeCell ref="B280:B290"/>
    <mergeCell ref="AL280:AL284"/>
    <mergeCell ref="AN280:AP280"/>
    <mergeCell ref="G284:J284"/>
    <mergeCell ref="AL285:AL289"/>
    <mergeCell ref="AN285:AP285"/>
    <mergeCell ref="W280:W281"/>
    <mergeCell ref="X280:X281"/>
    <mergeCell ref="AF280:AF281"/>
    <mergeCell ref="AG280:AG281"/>
    <mergeCell ref="AD270:AD271"/>
    <mergeCell ref="AE270:AE271"/>
    <mergeCell ref="AF270:AF271"/>
    <mergeCell ref="AG270:AG271"/>
    <mergeCell ref="AH270:AH271"/>
    <mergeCell ref="W272:W273"/>
    <mergeCell ref="X272:X273"/>
    <mergeCell ref="Y272:Y273"/>
    <mergeCell ref="Z272:Z273"/>
    <mergeCell ref="AA272:AA273"/>
    <mergeCell ref="W270:W271"/>
    <mergeCell ref="X270:X271"/>
    <mergeCell ref="B244:B254"/>
    <mergeCell ref="AL244:AL248"/>
    <mergeCell ref="AN244:AP244"/>
    <mergeCell ref="G248:J248"/>
    <mergeCell ref="AL249:AL253"/>
    <mergeCell ref="AN249:AP249"/>
    <mergeCell ref="W244:W245"/>
    <mergeCell ref="X244:X245"/>
    <mergeCell ref="AF244:AF245"/>
    <mergeCell ref="AG244:AG245"/>
    <mergeCell ref="B256:B266"/>
    <mergeCell ref="AL256:AL260"/>
    <mergeCell ref="AN256:AP256"/>
    <mergeCell ref="G260:J260"/>
    <mergeCell ref="AL261:AL265"/>
    <mergeCell ref="AN261:AP261"/>
    <mergeCell ref="W256:W257"/>
    <mergeCell ref="X256:X257"/>
    <mergeCell ref="AF256:AF257"/>
    <mergeCell ref="AG256:AG257"/>
    <mergeCell ref="AD246:AD247"/>
    <mergeCell ref="AE246:AE247"/>
    <mergeCell ref="AF246:AF247"/>
    <mergeCell ref="AG246:AG247"/>
    <mergeCell ref="AH246:AH247"/>
    <mergeCell ref="W248:W249"/>
    <mergeCell ref="X248:X249"/>
    <mergeCell ref="Y248:Y249"/>
    <mergeCell ref="Z248:Z249"/>
    <mergeCell ref="AA248:AA249"/>
    <mergeCell ref="W246:W247"/>
    <mergeCell ref="X246:X247"/>
    <mergeCell ref="B220:B230"/>
    <mergeCell ref="AL220:AL224"/>
    <mergeCell ref="AN220:AP220"/>
    <mergeCell ref="G224:J224"/>
    <mergeCell ref="AL225:AL229"/>
    <mergeCell ref="AN225:AP225"/>
    <mergeCell ref="W220:W221"/>
    <mergeCell ref="X220:X221"/>
    <mergeCell ref="AF220:AF221"/>
    <mergeCell ref="AG220:AG221"/>
    <mergeCell ref="B232:B242"/>
    <mergeCell ref="AL232:AL236"/>
    <mergeCell ref="AN232:AP232"/>
    <mergeCell ref="G236:J236"/>
    <mergeCell ref="AL237:AL241"/>
    <mergeCell ref="AN237:AP237"/>
    <mergeCell ref="W232:W233"/>
    <mergeCell ref="X232:X233"/>
    <mergeCell ref="AF232:AF233"/>
    <mergeCell ref="AG232:AG233"/>
    <mergeCell ref="AD222:AD223"/>
    <mergeCell ref="AE222:AE223"/>
    <mergeCell ref="AF222:AF223"/>
    <mergeCell ref="AG222:AG223"/>
    <mergeCell ref="AH222:AH223"/>
    <mergeCell ref="W224:W225"/>
    <mergeCell ref="X224:X225"/>
    <mergeCell ref="Y224:Y225"/>
    <mergeCell ref="Z224:Z225"/>
    <mergeCell ref="AA224:AA225"/>
    <mergeCell ref="W222:W223"/>
    <mergeCell ref="X222:X223"/>
    <mergeCell ref="B196:B206"/>
    <mergeCell ref="AL196:AL200"/>
    <mergeCell ref="AN196:AP196"/>
    <mergeCell ref="G200:J200"/>
    <mergeCell ref="AL201:AL205"/>
    <mergeCell ref="AN201:AP201"/>
    <mergeCell ref="W196:W197"/>
    <mergeCell ref="X196:X197"/>
    <mergeCell ref="AF196:AF197"/>
    <mergeCell ref="AG196:AG197"/>
    <mergeCell ref="B208:B218"/>
    <mergeCell ref="AL208:AL212"/>
    <mergeCell ref="AN208:AP208"/>
    <mergeCell ref="G212:J212"/>
    <mergeCell ref="AL213:AL217"/>
    <mergeCell ref="AN213:AP213"/>
    <mergeCell ref="W208:W209"/>
    <mergeCell ref="X208:X209"/>
    <mergeCell ref="AF208:AF209"/>
    <mergeCell ref="AG208:AG209"/>
    <mergeCell ref="AD198:AD199"/>
    <mergeCell ref="AE198:AE199"/>
    <mergeCell ref="AF198:AF199"/>
    <mergeCell ref="AG198:AG199"/>
    <mergeCell ref="AH198:AH199"/>
    <mergeCell ref="W200:W201"/>
    <mergeCell ref="X200:X201"/>
    <mergeCell ref="Y200:Y201"/>
    <mergeCell ref="Z200:Z201"/>
    <mergeCell ref="AA200:AA201"/>
    <mergeCell ref="W198:W199"/>
    <mergeCell ref="X198:X199"/>
    <mergeCell ref="B172:B182"/>
    <mergeCell ref="AL172:AL176"/>
    <mergeCell ref="AN172:AP172"/>
    <mergeCell ref="G176:J176"/>
    <mergeCell ref="AL177:AL181"/>
    <mergeCell ref="AN177:AP177"/>
    <mergeCell ref="W172:W173"/>
    <mergeCell ref="X172:X173"/>
    <mergeCell ref="AF172:AF173"/>
    <mergeCell ref="AG172:AG173"/>
    <mergeCell ref="B184:B194"/>
    <mergeCell ref="AL184:AL188"/>
    <mergeCell ref="AN184:AP184"/>
    <mergeCell ref="G188:J188"/>
    <mergeCell ref="AL189:AL193"/>
    <mergeCell ref="AN189:AP189"/>
    <mergeCell ref="W184:W185"/>
    <mergeCell ref="X184:X185"/>
    <mergeCell ref="AF184:AF185"/>
    <mergeCell ref="AG184:AG185"/>
    <mergeCell ref="AD174:AD175"/>
    <mergeCell ref="AE174:AE175"/>
    <mergeCell ref="AF174:AF175"/>
    <mergeCell ref="AG174:AG175"/>
    <mergeCell ref="AH174:AH175"/>
    <mergeCell ref="W176:W177"/>
    <mergeCell ref="X176:X177"/>
    <mergeCell ref="Y176:Y177"/>
    <mergeCell ref="Z176:Z177"/>
    <mergeCell ref="AA176:AA177"/>
    <mergeCell ref="W174:W175"/>
    <mergeCell ref="X174:X175"/>
    <mergeCell ref="B148:B158"/>
    <mergeCell ref="AL148:AL152"/>
    <mergeCell ref="AN148:AP148"/>
    <mergeCell ref="G152:J152"/>
    <mergeCell ref="AL153:AL157"/>
    <mergeCell ref="AN153:AP153"/>
    <mergeCell ref="W148:W149"/>
    <mergeCell ref="X148:X149"/>
    <mergeCell ref="AF148:AF149"/>
    <mergeCell ref="AG148:AG149"/>
    <mergeCell ref="B160:B170"/>
    <mergeCell ref="AL160:AL164"/>
    <mergeCell ref="AN160:AP160"/>
    <mergeCell ref="G164:J164"/>
    <mergeCell ref="AL165:AL169"/>
    <mergeCell ref="AN165:AP165"/>
    <mergeCell ref="W160:W161"/>
    <mergeCell ref="X160:X161"/>
    <mergeCell ref="AF160:AF161"/>
    <mergeCell ref="AG160:AG161"/>
    <mergeCell ref="AD150:AD151"/>
    <mergeCell ref="AE150:AE151"/>
    <mergeCell ref="AF150:AF151"/>
    <mergeCell ref="AG150:AG151"/>
    <mergeCell ref="AH150:AH151"/>
    <mergeCell ref="W152:W153"/>
    <mergeCell ref="X152:X153"/>
    <mergeCell ref="Y152:Y153"/>
    <mergeCell ref="Z152:Z153"/>
    <mergeCell ref="AA152:AA153"/>
    <mergeCell ref="W150:W151"/>
    <mergeCell ref="X150:X151"/>
    <mergeCell ref="B124:B134"/>
    <mergeCell ref="AL124:AL128"/>
    <mergeCell ref="AN124:AP124"/>
    <mergeCell ref="G128:J128"/>
    <mergeCell ref="AL129:AL133"/>
    <mergeCell ref="AN129:AP129"/>
    <mergeCell ref="W124:W125"/>
    <mergeCell ref="X124:X125"/>
    <mergeCell ref="AF124:AF125"/>
    <mergeCell ref="AG124:AG125"/>
    <mergeCell ref="B136:B146"/>
    <mergeCell ref="AL136:AL140"/>
    <mergeCell ref="AN136:AP136"/>
    <mergeCell ref="G140:J140"/>
    <mergeCell ref="AL141:AL145"/>
    <mergeCell ref="AN141:AP141"/>
    <mergeCell ref="W136:W137"/>
    <mergeCell ref="X136:X137"/>
    <mergeCell ref="AF136:AF137"/>
    <mergeCell ref="AG136:AG137"/>
    <mergeCell ref="AD126:AD127"/>
    <mergeCell ref="AE126:AE127"/>
    <mergeCell ref="AF126:AF127"/>
    <mergeCell ref="AG126:AG127"/>
    <mergeCell ref="AH126:AH127"/>
    <mergeCell ref="W128:W129"/>
    <mergeCell ref="X128:X129"/>
    <mergeCell ref="Y128:Y129"/>
    <mergeCell ref="Z128:Z129"/>
    <mergeCell ref="AA128:AA129"/>
    <mergeCell ref="W126:W127"/>
    <mergeCell ref="X126:X127"/>
    <mergeCell ref="B100:B110"/>
    <mergeCell ref="AL100:AL104"/>
    <mergeCell ref="AN100:AP100"/>
    <mergeCell ref="G104:J104"/>
    <mergeCell ref="AL105:AL109"/>
    <mergeCell ref="AN105:AP105"/>
    <mergeCell ref="W100:W101"/>
    <mergeCell ref="X100:X101"/>
    <mergeCell ref="AF100:AF101"/>
    <mergeCell ref="AG100:AG101"/>
    <mergeCell ref="B112:B122"/>
    <mergeCell ref="AL112:AL116"/>
    <mergeCell ref="AN112:AP112"/>
    <mergeCell ref="G116:J116"/>
    <mergeCell ref="AL117:AL121"/>
    <mergeCell ref="AN117:AP117"/>
    <mergeCell ref="W112:W113"/>
    <mergeCell ref="X112:X113"/>
    <mergeCell ref="AF112:AF113"/>
    <mergeCell ref="AG112:AG113"/>
    <mergeCell ref="AD102:AD103"/>
    <mergeCell ref="AE102:AE103"/>
    <mergeCell ref="AF102:AF103"/>
    <mergeCell ref="AG102:AG103"/>
    <mergeCell ref="AH102:AH103"/>
    <mergeCell ref="W104:W105"/>
    <mergeCell ref="X104:X105"/>
    <mergeCell ref="Y104:Y105"/>
    <mergeCell ref="Z104:Z105"/>
    <mergeCell ref="AA104:AA105"/>
    <mergeCell ref="W102:W103"/>
    <mergeCell ref="X102:X103"/>
    <mergeCell ref="B76:B86"/>
    <mergeCell ref="AL76:AL80"/>
    <mergeCell ref="AN76:AP76"/>
    <mergeCell ref="G80:J80"/>
    <mergeCell ref="AL81:AL85"/>
    <mergeCell ref="AN81:AP81"/>
    <mergeCell ref="W76:W77"/>
    <mergeCell ref="X76:X77"/>
    <mergeCell ref="AF76:AF77"/>
    <mergeCell ref="AG76:AG77"/>
    <mergeCell ref="B88:B98"/>
    <mergeCell ref="AL88:AL92"/>
    <mergeCell ref="AN88:AP88"/>
    <mergeCell ref="G92:J92"/>
    <mergeCell ref="AL93:AL97"/>
    <mergeCell ref="AN93:AP93"/>
    <mergeCell ref="W88:W89"/>
    <mergeCell ref="X88:X89"/>
    <mergeCell ref="AF88:AF89"/>
    <mergeCell ref="AG88:AG89"/>
    <mergeCell ref="AD78:AD79"/>
    <mergeCell ref="AE78:AE79"/>
    <mergeCell ref="AF78:AF79"/>
    <mergeCell ref="AG78:AG79"/>
    <mergeCell ref="AH78:AH79"/>
    <mergeCell ref="W80:W81"/>
    <mergeCell ref="X80:X81"/>
    <mergeCell ref="Y80:Y81"/>
    <mergeCell ref="Z80:Z81"/>
    <mergeCell ref="AA80:AA81"/>
    <mergeCell ref="W78:W79"/>
    <mergeCell ref="X78:X79"/>
    <mergeCell ref="A364:A374"/>
    <mergeCell ref="A376:A386"/>
    <mergeCell ref="A388:A398"/>
    <mergeCell ref="A400:A410"/>
    <mergeCell ref="A412:A422"/>
    <mergeCell ref="A304:A314"/>
    <mergeCell ref="A316:A326"/>
    <mergeCell ref="A328:A338"/>
    <mergeCell ref="A340:A350"/>
    <mergeCell ref="A352:A362"/>
    <mergeCell ref="A244:A254"/>
    <mergeCell ref="A256:A266"/>
    <mergeCell ref="A268:A278"/>
    <mergeCell ref="A280:A290"/>
    <mergeCell ref="A292:A302"/>
    <mergeCell ref="A184:A194"/>
    <mergeCell ref="A196:A206"/>
    <mergeCell ref="A208:A218"/>
    <mergeCell ref="A220:A230"/>
    <mergeCell ref="A232:A242"/>
    <mergeCell ref="A124:A134"/>
    <mergeCell ref="A136:A146"/>
    <mergeCell ref="A148:A158"/>
    <mergeCell ref="A160:A170"/>
    <mergeCell ref="A172:A182"/>
    <mergeCell ref="A64:A74"/>
    <mergeCell ref="A76:A86"/>
    <mergeCell ref="A88:A98"/>
    <mergeCell ref="A100:A110"/>
    <mergeCell ref="A112:A122"/>
    <mergeCell ref="AN52:AP52"/>
    <mergeCell ref="G56:J56"/>
    <mergeCell ref="AL57:AL61"/>
    <mergeCell ref="AN57:AP57"/>
    <mergeCell ref="W52:W53"/>
    <mergeCell ref="X52:X53"/>
    <mergeCell ref="Y52:Y53"/>
    <mergeCell ref="Z52:Z53"/>
    <mergeCell ref="AA52:AA53"/>
    <mergeCell ref="W54:W55"/>
    <mergeCell ref="B52:B62"/>
    <mergeCell ref="AL52:AL56"/>
    <mergeCell ref="B64:B74"/>
    <mergeCell ref="AL64:AL68"/>
    <mergeCell ref="AN64:AP64"/>
    <mergeCell ref="G68:J68"/>
    <mergeCell ref="AL69:AL73"/>
    <mergeCell ref="AN69:AP69"/>
    <mergeCell ref="W64:W65"/>
    <mergeCell ref="X64:X65"/>
    <mergeCell ref="AF64:AF65"/>
    <mergeCell ref="AG64:AG65"/>
    <mergeCell ref="A52:A62"/>
    <mergeCell ref="B28:B38"/>
    <mergeCell ref="AL28:AL32"/>
    <mergeCell ref="AN28:AP28"/>
    <mergeCell ref="G32:J32"/>
    <mergeCell ref="E2:F3"/>
    <mergeCell ref="G2:J2"/>
    <mergeCell ref="AN21:AP21"/>
    <mergeCell ref="AL16:AL20"/>
    <mergeCell ref="AL21:AL25"/>
    <mergeCell ref="AC2:AH2"/>
    <mergeCell ref="S2:V2"/>
    <mergeCell ref="W2:AB2"/>
    <mergeCell ref="AI2:AK2"/>
    <mergeCell ref="AL2:AP3"/>
    <mergeCell ref="K2:N2"/>
    <mergeCell ref="O2:R2"/>
    <mergeCell ref="X42:X43"/>
    <mergeCell ref="Y42:Y43"/>
    <mergeCell ref="AN45:AP45"/>
    <mergeCell ref="AN33:AP33"/>
    <mergeCell ref="B40:B50"/>
    <mergeCell ref="W32:W33"/>
    <mergeCell ref="X32:X33"/>
    <mergeCell ref="Y32:Y33"/>
    <mergeCell ref="Z32:Z33"/>
    <mergeCell ref="AA32:AA33"/>
    <mergeCell ref="AB32:AB33"/>
    <mergeCell ref="AC32:AC33"/>
    <mergeCell ref="AL33:AL37"/>
    <mergeCell ref="AL40:AL44"/>
    <mergeCell ref="AN40:AP40"/>
    <mergeCell ref="C1:I1"/>
    <mergeCell ref="A4:A14"/>
    <mergeCell ref="B4:B14"/>
    <mergeCell ref="G8:J8"/>
    <mergeCell ref="A1:B1"/>
    <mergeCell ref="A2:A3"/>
    <mergeCell ref="B2:B3"/>
    <mergeCell ref="C2:D3"/>
    <mergeCell ref="A16:A26"/>
    <mergeCell ref="B16:B26"/>
    <mergeCell ref="G20:J20"/>
    <mergeCell ref="G44:J44"/>
    <mergeCell ref="AL45:AL49"/>
    <mergeCell ref="AL4:AL8"/>
    <mergeCell ref="AL9:AL13"/>
    <mergeCell ref="AN4:AP4"/>
    <mergeCell ref="AN9:AP9"/>
    <mergeCell ref="AN16:AP16"/>
    <mergeCell ref="A28:A38"/>
    <mergeCell ref="A40:A50"/>
    <mergeCell ref="AA12:AA13"/>
    <mergeCell ref="AB12:AB13"/>
    <mergeCell ref="W10:W11"/>
    <mergeCell ref="X10:X11"/>
    <mergeCell ref="Y10:Y11"/>
    <mergeCell ref="Z10:Z11"/>
    <mergeCell ref="AA10:AA11"/>
    <mergeCell ref="AB10:AB11"/>
    <mergeCell ref="W8:W9"/>
    <mergeCell ref="X8:X9"/>
    <mergeCell ref="Y8:Y9"/>
    <mergeCell ref="Z8:Z9"/>
  </mergeCells>
  <dataValidations count="2">
    <dataValidation type="list" allowBlank="1" showInputMessage="1" showErrorMessage="1" promptTitle="કુમાર કે કન્યા?" prompt="કુમાર કે કન્યા લિસ્ટમાંથી સિલેક્ટ કરો." sqref="D5 D17 D29 D41 D53 D65 D77 D89 D101 D113 D125 D137 D149 D161 D173 D185 D197 D209 D221 D233 D245 D257 D269 D281 D293 D305 D317 D329 D341 D353 D365 D377 D389 D401 D413">
      <formula1>$BF$6:$BF$7</formula1>
    </dataValidation>
    <dataValidation type="list" allowBlank="1" showInputMessage="1" showErrorMessage="1" sqref="F14 F26 F38 F50 F62 F74 F86 F98 F110 F122 F134 F146 F158 F170 F182 F194 F206 F218 F230 F242 F254 F266 F278 F290 F302 F314 F326 F338 F350 F362 F374 F386 F398 F410 F422">
      <formula1>$BF$8:$BF$11</formula1>
    </dataValidation>
  </dataValidations>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sheetPr>
    <tabColor rgb="FF00B050"/>
  </sheetPr>
  <dimension ref="A1:BB298"/>
  <sheetViews>
    <sheetView showGridLines="0" zoomScaleSheetLayoutView="100" workbookViewId="0">
      <selection sqref="A1:AA1"/>
    </sheetView>
  </sheetViews>
  <sheetFormatPr defaultRowHeight="15"/>
  <cols>
    <col min="1" max="1" width="3.5703125" style="207" customWidth="1"/>
    <col min="2" max="2" width="25.28515625" style="290" customWidth="1"/>
    <col min="3" max="22" width="2.7109375" style="207" customWidth="1"/>
    <col min="23" max="25" width="3.5703125" style="207" customWidth="1"/>
    <col min="26" max="26" width="5.140625" style="207" customWidth="1"/>
    <col min="27" max="27" width="1.140625" style="207" customWidth="1"/>
    <col min="28" max="28" width="3.5703125" style="207" customWidth="1"/>
    <col min="29" max="29" width="25.28515625" style="290" customWidth="1"/>
    <col min="30" max="49" width="2.7109375" style="207" customWidth="1"/>
    <col min="50" max="52" width="4.28515625" style="207" customWidth="1"/>
    <col min="53" max="53" width="5" style="207" customWidth="1"/>
    <col min="54" max="54" width="0.85546875" style="207" customWidth="1"/>
    <col min="55" max="16384" width="9.140625" style="207"/>
  </cols>
  <sheetData>
    <row r="1" spans="1:54" ht="44.25" customHeight="1">
      <c r="A1" s="388" t="s">
        <v>314</v>
      </c>
      <c r="B1" s="388"/>
      <c r="C1" s="388"/>
      <c r="D1" s="388"/>
      <c r="E1" s="388"/>
      <c r="F1" s="388"/>
      <c r="G1" s="388"/>
      <c r="H1" s="388"/>
      <c r="I1" s="388"/>
      <c r="J1" s="388"/>
      <c r="K1" s="388"/>
      <c r="L1" s="388"/>
      <c r="M1" s="388"/>
      <c r="N1" s="388"/>
      <c r="O1" s="388"/>
      <c r="P1" s="388"/>
      <c r="Q1" s="388"/>
      <c r="R1" s="388"/>
      <c r="S1" s="388"/>
      <c r="T1" s="388"/>
      <c r="U1" s="388"/>
      <c r="V1" s="388"/>
      <c r="W1" s="388"/>
      <c r="X1" s="388"/>
      <c r="Y1" s="388"/>
      <c r="Z1" s="388"/>
      <c r="AA1" s="388"/>
    </row>
    <row r="2" spans="1:54" ht="21" customHeight="1">
      <c r="B2" s="391" t="s">
        <v>81</v>
      </c>
      <c r="C2" s="389" t="s">
        <v>54</v>
      </c>
      <c r="D2" s="389"/>
      <c r="E2" s="389"/>
      <c r="F2" s="389"/>
      <c r="G2" s="389"/>
      <c r="H2" s="389" t="s">
        <v>176</v>
      </c>
      <c r="I2" s="389"/>
      <c r="J2" s="389"/>
      <c r="K2" s="389"/>
      <c r="L2" s="389"/>
      <c r="M2" s="389" t="s">
        <v>177</v>
      </c>
      <c r="N2" s="389"/>
      <c r="O2" s="389"/>
      <c r="P2" s="389"/>
      <c r="Q2" s="389"/>
      <c r="R2" s="389" t="s">
        <v>60</v>
      </c>
      <c r="S2" s="389"/>
      <c r="T2" s="389"/>
      <c r="U2" s="389"/>
      <c r="V2" s="389"/>
      <c r="AC2" s="388"/>
      <c r="AD2" s="388"/>
      <c r="AE2" s="388"/>
      <c r="AF2" s="388"/>
      <c r="AG2" s="388"/>
      <c r="AH2" s="388"/>
      <c r="AI2" s="388"/>
      <c r="AJ2" s="388"/>
      <c r="AK2" s="388"/>
      <c r="AL2" s="388"/>
      <c r="AM2" s="388"/>
      <c r="AN2" s="388"/>
      <c r="AO2" s="388"/>
      <c r="AP2" s="388"/>
      <c r="AQ2" s="388"/>
      <c r="AR2" s="388"/>
      <c r="AS2" s="388"/>
      <c r="AT2" s="388"/>
      <c r="AU2" s="388"/>
      <c r="AV2" s="388"/>
      <c r="AW2" s="388"/>
      <c r="AX2" s="388"/>
      <c r="AY2" s="388"/>
      <c r="AZ2" s="388"/>
      <c r="BA2" s="388"/>
    </row>
    <row r="3" spans="1:54" ht="18.75" customHeight="1">
      <c r="B3" s="391"/>
      <c r="C3" s="389" t="s">
        <v>55</v>
      </c>
      <c r="D3" s="389"/>
      <c r="E3" s="389"/>
      <c r="F3" s="389"/>
      <c r="G3" s="389"/>
      <c r="H3" s="389" t="s">
        <v>56</v>
      </c>
      <c r="I3" s="389"/>
      <c r="J3" s="389"/>
      <c r="K3" s="389"/>
      <c r="L3" s="389"/>
      <c r="M3" s="389" t="s">
        <v>57</v>
      </c>
      <c r="N3" s="389"/>
      <c r="O3" s="389"/>
      <c r="P3" s="389"/>
      <c r="Q3" s="389"/>
      <c r="R3" s="390"/>
      <c r="S3" s="390"/>
      <c r="T3" s="390"/>
      <c r="U3" s="390"/>
      <c r="V3" s="390"/>
      <c r="AC3" s="388"/>
      <c r="AD3" s="388"/>
      <c r="AE3" s="388"/>
      <c r="AF3" s="388"/>
      <c r="AG3" s="388"/>
      <c r="AH3" s="388"/>
      <c r="AI3" s="388"/>
      <c r="AJ3" s="388"/>
      <c r="AK3" s="388"/>
      <c r="AL3" s="388"/>
      <c r="AM3" s="388"/>
      <c r="AN3" s="388"/>
      <c r="AO3" s="388"/>
      <c r="AP3" s="388"/>
      <c r="AQ3" s="388"/>
      <c r="AR3" s="388"/>
      <c r="AS3" s="388"/>
      <c r="AT3" s="388"/>
      <c r="AU3" s="388"/>
      <c r="AV3" s="388"/>
      <c r="AW3" s="388"/>
      <c r="AX3" s="388"/>
      <c r="AY3" s="388"/>
      <c r="AZ3" s="388"/>
      <c r="BA3" s="388"/>
    </row>
    <row r="5" spans="1:54" ht="18">
      <c r="A5" s="66"/>
      <c r="B5" s="375" t="s">
        <v>81</v>
      </c>
      <c r="C5" s="375"/>
      <c r="D5" s="375"/>
      <c r="E5" s="375"/>
      <c r="F5" s="375"/>
      <c r="G5" s="375"/>
      <c r="H5" s="375"/>
      <c r="I5" s="375"/>
      <c r="J5" s="375"/>
      <c r="K5" s="375"/>
      <c r="L5" s="375"/>
      <c r="M5" s="375"/>
      <c r="N5" s="375"/>
      <c r="O5" s="375"/>
      <c r="P5" s="375"/>
      <c r="Q5" s="375"/>
      <c r="R5" s="375"/>
      <c r="S5" s="375"/>
      <c r="T5" s="375"/>
      <c r="U5" s="375"/>
      <c r="V5" s="375"/>
      <c r="W5" s="375"/>
      <c r="X5" s="375"/>
      <c r="Y5" s="375"/>
      <c r="Z5" s="375"/>
      <c r="AA5" s="43"/>
      <c r="AB5" s="44"/>
      <c r="AC5" s="375" t="s">
        <v>81</v>
      </c>
      <c r="AD5" s="375"/>
      <c r="AE5" s="375"/>
      <c r="AF5" s="375"/>
      <c r="AG5" s="375"/>
      <c r="AH5" s="375"/>
      <c r="AI5" s="375"/>
      <c r="AJ5" s="375"/>
      <c r="AK5" s="375"/>
      <c r="AL5" s="375"/>
      <c r="AM5" s="375"/>
      <c r="AN5" s="375"/>
      <c r="AO5" s="375"/>
      <c r="AP5" s="375"/>
      <c r="AQ5" s="375"/>
      <c r="AR5" s="375"/>
      <c r="AS5" s="375"/>
      <c r="AT5" s="375"/>
      <c r="AU5" s="375"/>
      <c r="AV5" s="375"/>
      <c r="AW5" s="375"/>
      <c r="AX5" s="375"/>
      <c r="AY5" s="375"/>
      <c r="AZ5" s="375"/>
      <c r="BA5" s="375"/>
      <c r="BB5" s="291"/>
    </row>
    <row r="6" spans="1:54" ht="23.25">
      <c r="A6" s="51"/>
      <c r="B6" s="376" t="s">
        <v>82</v>
      </c>
      <c r="C6" s="376"/>
      <c r="D6" s="376"/>
      <c r="E6" s="376"/>
      <c r="F6" s="376"/>
      <c r="G6" s="376"/>
      <c r="H6" s="376"/>
      <c r="I6" s="376"/>
      <c r="J6" s="376"/>
      <c r="K6" s="376"/>
      <c r="L6" s="376"/>
      <c r="M6" s="376"/>
      <c r="N6" s="376"/>
      <c r="O6" s="376"/>
      <c r="P6" s="376"/>
      <c r="Q6" s="376"/>
      <c r="R6" s="376"/>
      <c r="S6" s="376"/>
      <c r="T6" s="376"/>
      <c r="U6" s="376"/>
      <c r="V6" s="376"/>
      <c r="W6" s="376"/>
      <c r="X6" s="376"/>
      <c r="Y6" s="376"/>
      <c r="Z6" s="376"/>
      <c r="AA6" s="43"/>
      <c r="AB6" s="51"/>
      <c r="AC6" s="376" t="s">
        <v>82</v>
      </c>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291"/>
    </row>
    <row r="7" spans="1:54" s="290" customFormat="1" ht="20.25" customHeight="1">
      <c r="A7" s="51"/>
      <c r="B7" s="200" t="str">
        <f>CONCATENATE("ધોરણ - ",SCHOOL!$D$2)</f>
        <v>ધોરણ - 6</v>
      </c>
      <c r="C7" s="387" t="s">
        <v>83</v>
      </c>
      <c r="D7" s="387"/>
      <c r="E7" s="387"/>
      <c r="F7" s="387"/>
      <c r="G7" s="387"/>
      <c r="H7" s="387"/>
      <c r="I7" s="387"/>
      <c r="J7" s="387"/>
      <c r="K7" s="387" t="s">
        <v>84</v>
      </c>
      <c r="L7" s="387"/>
      <c r="M7" s="387"/>
      <c r="N7" s="387"/>
      <c r="O7" s="387"/>
      <c r="P7" s="387"/>
      <c r="Q7" s="387"/>
      <c r="R7" s="387" t="s">
        <v>85</v>
      </c>
      <c r="S7" s="387"/>
      <c r="T7" s="387"/>
      <c r="U7" s="387"/>
      <c r="V7" s="387"/>
      <c r="W7" s="387"/>
      <c r="X7" s="387"/>
      <c r="Y7" s="387">
        <f>COUNTA(C10:V10)</f>
        <v>15</v>
      </c>
      <c r="Z7" s="387"/>
      <c r="AA7" s="65"/>
      <c r="AB7" s="51"/>
      <c r="AC7" s="200" t="str">
        <f>CONCATENATE("ધોરણ - ",SCHOOL!$D$2)</f>
        <v>ધોરણ - 6</v>
      </c>
      <c r="AD7" s="387" t="str">
        <f>C7</f>
        <v xml:space="preserve"> વિષય-ગુજરાતી  </v>
      </c>
      <c r="AE7" s="387"/>
      <c r="AF7" s="387"/>
      <c r="AG7" s="387"/>
      <c r="AH7" s="387"/>
      <c r="AI7" s="387"/>
      <c r="AJ7" s="387"/>
      <c r="AK7" s="387"/>
      <c r="AL7" s="387" t="s">
        <v>102</v>
      </c>
      <c r="AM7" s="387"/>
      <c r="AN7" s="387"/>
      <c r="AO7" s="387"/>
      <c r="AP7" s="387"/>
      <c r="AQ7" s="387"/>
      <c r="AR7" s="387"/>
      <c r="AS7" s="387" t="s">
        <v>85</v>
      </c>
      <c r="AT7" s="387"/>
      <c r="AU7" s="387"/>
      <c r="AV7" s="387"/>
      <c r="AW7" s="387"/>
      <c r="AX7" s="387"/>
      <c r="AY7" s="387"/>
      <c r="AZ7" s="387">
        <f>COUNTA(AD10:AW10)</f>
        <v>14</v>
      </c>
      <c r="BA7" s="387"/>
      <c r="BB7" s="292"/>
    </row>
    <row r="8" spans="1:54" ht="18.75" customHeight="1">
      <c r="A8" s="384"/>
      <c r="B8" s="378" t="s">
        <v>86</v>
      </c>
      <c r="C8" s="379" t="s">
        <v>87</v>
      </c>
      <c r="D8" s="380"/>
      <c r="E8" s="380"/>
      <c r="F8" s="380"/>
      <c r="G8" s="380"/>
      <c r="H8" s="380"/>
      <c r="I8" s="380"/>
      <c r="J8" s="380"/>
      <c r="K8" s="380"/>
      <c r="L8" s="380"/>
      <c r="M8" s="380"/>
      <c r="N8" s="380"/>
      <c r="O8" s="380"/>
      <c r="P8" s="380"/>
      <c r="Q8" s="380"/>
      <c r="R8" s="380"/>
      <c r="S8" s="380"/>
      <c r="T8" s="380"/>
      <c r="U8" s="380"/>
      <c r="V8" s="381"/>
      <c r="W8" s="365" t="s">
        <v>88</v>
      </c>
      <c r="X8" s="366"/>
      <c r="Y8" s="367"/>
      <c r="Z8" s="371" t="s">
        <v>90</v>
      </c>
      <c r="AA8" s="291"/>
      <c r="AB8" s="384"/>
      <c r="AC8" s="378" t="s">
        <v>86</v>
      </c>
      <c r="AD8" s="379" t="s">
        <v>87</v>
      </c>
      <c r="AE8" s="380"/>
      <c r="AF8" s="380"/>
      <c r="AG8" s="380"/>
      <c r="AH8" s="380"/>
      <c r="AI8" s="380"/>
      <c r="AJ8" s="380"/>
      <c r="AK8" s="380"/>
      <c r="AL8" s="380"/>
      <c r="AM8" s="380"/>
      <c r="AN8" s="380"/>
      <c r="AO8" s="380"/>
      <c r="AP8" s="380"/>
      <c r="AQ8" s="380"/>
      <c r="AR8" s="380"/>
      <c r="AS8" s="380"/>
      <c r="AT8" s="380"/>
      <c r="AU8" s="380"/>
      <c r="AV8" s="380"/>
      <c r="AW8" s="381"/>
      <c r="AX8" s="365" t="s">
        <v>88</v>
      </c>
      <c r="AY8" s="366"/>
      <c r="AZ8" s="367"/>
      <c r="BA8" s="371" t="s">
        <v>90</v>
      </c>
      <c r="BB8" s="291"/>
    </row>
    <row r="9" spans="1:54" ht="15" customHeight="1">
      <c r="A9" s="385"/>
      <c r="B9" s="378"/>
      <c r="C9" s="45">
        <v>1</v>
      </c>
      <c r="D9" s="46">
        <v>2</v>
      </c>
      <c r="E9" s="46">
        <v>3</v>
      </c>
      <c r="F9" s="46">
        <v>4</v>
      </c>
      <c r="G9" s="46">
        <v>5</v>
      </c>
      <c r="H9" s="46">
        <v>6</v>
      </c>
      <c r="I9" s="46">
        <v>7</v>
      </c>
      <c r="J9" s="46">
        <v>8</v>
      </c>
      <c r="K9" s="46">
        <v>9</v>
      </c>
      <c r="L9" s="46">
        <v>10</v>
      </c>
      <c r="M9" s="46">
        <v>11</v>
      </c>
      <c r="N9" s="46">
        <v>12</v>
      </c>
      <c r="O9" s="46">
        <v>13</v>
      </c>
      <c r="P9" s="46">
        <v>14</v>
      </c>
      <c r="Q9" s="46">
        <v>15</v>
      </c>
      <c r="R9" s="46">
        <v>16</v>
      </c>
      <c r="S9" s="46">
        <v>17</v>
      </c>
      <c r="T9" s="46">
        <v>18</v>
      </c>
      <c r="U9" s="46">
        <v>19</v>
      </c>
      <c r="V9" s="47">
        <v>20</v>
      </c>
      <c r="W9" s="368"/>
      <c r="X9" s="369"/>
      <c r="Y9" s="370"/>
      <c r="Z9" s="382"/>
      <c r="AA9" s="291"/>
      <c r="AB9" s="385"/>
      <c r="AC9" s="378"/>
      <c r="AD9" s="45">
        <v>1</v>
      </c>
      <c r="AE9" s="46">
        <v>2</v>
      </c>
      <c r="AF9" s="46">
        <v>3</v>
      </c>
      <c r="AG9" s="46">
        <v>4</v>
      </c>
      <c r="AH9" s="46">
        <v>5</v>
      </c>
      <c r="AI9" s="46">
        <v>6</v>
      </c>
      <c r="AJ9" s="46">
        <v>7</v>
      </c>
      <c r="AK9" s="46">
        <v>8</v>
      </c>
      <c r="AL9" s="46">
        <v>9</v>
      </c>
      <c r="AM9" s="46">
        <v>10</v>
      </c>
      <c r="AN9" s="46">
        <v>11</v>
      </c>
      <c r="AO9" s="46">
        <v>12</v>
      </c>
      <c r="AP9" s="46">
        <v>13</v>
      </c>
      <c r="AQ9" s="46">
        <v>14</v>
      </c>
      <c r="AR9" s="46">
        <v>15</v>
      </c>
      <c r="AS9" s="46">
        <v>16</v>
      </c>
      <c r="AT9" s="46">
        <v>17</v>
      </c>
      <c r="AU9" s="46">
        <v>18</v>
      </c>
      <c r="AV9" s="46">
        <v>19</v>
      </c>
      <c r="AW9" s="47">
        <v>20</v>
      </c>
      <c r="AX9" s="368"/>
      <c r="AY9" s="369"/>
      <c r="AZ9" s="370"/>
      <c r="BA9" s="382"/>
      <c r="BB9" s="291"/>
    </row>
    <row r="10" spans="1:54" ht="45" customHeight="1">
      <c r="A10" s="386"/>
      <c r="B10" s="378"/>
      <c r="C10" s="293" t="s">
        <v>80</v>
      </c>
      <c r="D10" s="294" t="s">
        <v>279</v>
      </c>
      <c r="E10" s="294" t="s">
        <v>280</v>
      </c>
      <c r="F10" s="294" t="s">
        <v>281</v>
      </c>
      <c r="G10" s="294" t="s">
        <v>282</v>
      </c>
      <c r="H10" s="294" t="s">
        <v>283</v>
      </c>
      <c r="I10" s="294" t="s">
        <v>284</v>
      </c>
      <c r="J10" s="294" t="s">
        <v>285</v>
      </c>
      <c r="K10" s="294" t="s">
        <v>286</v>
      </c>
      <c r="L10" s="294" t="s">
        <v>287</v>
      </c>
      <c r="M10" s="294" t="s">
        <v>288</v>
      </c>
      <c r="N10" s="294" t="s">
        <v>289</v>
      </c>
      <c r="O10" s="294" t="s">
        <v>290</v>
      </c>
      <c r="P10" s="294" t="s">
        <v>318</v>
      </c>
      <c r="Q10" s="294" t="s">
        <v>319</v>
      </c>
      <c r="R10" s="294"/>
      <c r="S10" s="294"/>
      <c r="T10" s="294"/>
      <c r="U10" s="294"/>
      <c r="V10" s="295"/>
      <c r="W10" s="48" t="s">
        <v>91</v>
      </c>
      <c r="X10" s="49" t="s">
        <v>92</v>
      </c>
      <c r="Y10" s="50" t="s">
        <v>89</v>
      </c>
      <c r="Z10" s="383"/>
      <c r="AA10" s="291"/>
      <c r="AB10" s="386"/>
      <c r="AC10" s="378"/>
      <c r="AD10" s="293" t="s">
        <v>80</v>
      </c>
      <c r="AE10" s="294" t="s">
        <v>279</v>
      </c>
      <c r="AF10" s="294" t="s">
        <v>280</v>
      </c>
      <c r="AG10" s="294" t="s">
        <v>281</v>
      </c>
      <c r="AH10" s="294" t="s">
        <v>282</v>
      </c>
      <c r="AI10" s="294" t="s">
        <v>283</v>
      </c>
      <c r="AJ10" s="294" t="s">
        <v>284</v>
      </c>
      <c r="AK10" s="294" t="s">
        <v>285</v>
      </c>
      <c r="AL10" s="294" t="s">
        <v>286</v>
      </c>
      <c r="AM10" s="294" t="s">
        <v>287</v>
      </c>
      <c r="AN10" s="294" t="s">
        <v>288</v>
      </c>
      <c r="AO10" s="294" t="s">
        <v>289</v>
      </c>
      <c r="AP10" s="294" t="s">
        <v>290</v>
      </c>
      <c r="AQ10" s="294" t="s">
        <v>291</v>
      </c>
      <c r="AR10" s="294"/>
      <c r="AS10" s="294"/>
      <c r="AT10" s="294"/>
      <c r="AU10" s="294"/>
      <c r="AV10" s="294"/>
      <c r="AW10" s="295"/>
      <c r="AX10" s="48" t="s">
        <v>91</v>
      </c>
      <c r="AY10" s="49" t="s">
        <v>92</v>
      </c>
      <c r="AZ10" s="50" t="s">
        <v>89</v>
      </c>
      <c r="BA10" s="383"/>
      <c r="BB10" s="291"/>
    </row>
    <row r="11" spans="1:54" ht="20.25" customHeight="1">
      <c r="A11" s="201">
        <v>1</v>
      </c>
      <c r="B11" s="62" t="str">
        <f>STUDENTS!B4</f>
        <v>ગોહેલ રાજેશભાઇ ચીથરભાઇ</v>
      </c>
      <c r="C11" s="296" t="s">
        <v>91</v>
      </c>
      <c r="D11" s="297" t="s">
        <v>91</v>
      </c>
      <c r="E11" s="297" t="s">
        <v>91</v>
      </c>
      <c r="F11" s="297" t="s">
        <v>91</v>
      </c>
      <c r="G11" s="297" t="s">
        <v>91</v>
      </c>
      <c r="H11" s="297" t="s">
        <v>91</v>
      </c>
      <c r="I11" s="297" t="s">
        <v>91</v>
      </c>
      <c r="J11" s="297" t="s">
        <v>91</v>
      </c>
      <c r="K11" s="297" t="s">
        <v>92</v>
      </c>
      <c r="L11" s="297" t="s">
        <v>91</v>
      </c>
      <c r="M11" s="297" t="s">
        <v>92</v>
      </c>
      <c r="N11" s="297" t="s">
        <v>92</v>
      </c>
      <c r="O11" s="297" t="s">
        <v>91</v>
      </c>
      <c r="P11" s="297" t="s">
        <v>89</v>
      </c>
      <c r="Q11" s="297" t="s">
        <v>92</v>
      </c>
      <c r="R11" s="297"/>
      <c r="S11" s="297"/>
      <c r="T11" s="297"/>
      <c r="U11" s="297"/>
      <c r="V11" s="298"/>
      <c r="W11" s="299">
        <f>COUNTIF(C11:V11,"√")</f>
        <v>10</v>
      </c>
      <c r="X11" s="300">
        <f>COUNTIF(C11:V11," ?")</f>
        <v>4</v>
      </c>
      <c r="Y11" s="300">
        <f>COUNTIF(C11:V11,"X")</f>
        <v>1</v>
      </c>
      <c r="Z11" s="301">
        <f>ROUND((40/$Y$7)*W11,0)</f>
        <v>27</v>
      </c>
      <c r="AA11" s="291"/>
      <c r="AB11" s="201">
        <v>1</v>
      </c>
      <c r="AC11" s="62" t="str">
        <f>B11</f>
        <v>ગોહેલ રાજેશભાઇ ચીથરભાઇ</v>
      </c>
      <c r="AD11" s="296" t="s">
        <v>91</v>
      </c>
      <c r="AE11" s="297" t="s">
        <v>91</v>
      </c>
      <c r="AF11" s="297" t="s">
        <v>91</v>
      </c>
      <c r="AG11" s="297" t="s">
        <v>91</v>
      </c>
      <c r="AH11" s="297" t="s">
        <v>91</v>
      </c>
      <c r="AI11" s="297" t="s">
        <v>91</v>
      </c>
      <c r="AJ11" s="297" t="s">
        <v>91</v>
      </c>
      <c r="AK11" s="297" t="s">
        <v>91</v>
      </c>
      <c r="AL11" s="297" t="s">
        <v>92</v>
      </c>
      <c r="AM11" s="297" t="s">
        <v>91</v>
      </c>
      <c r="AN11" s="297" t="s">
        <v>92</v>
      </c>
      <c r="AO11" s="297" t="s">
        <v>92</v>
      </c>
      <c r="AP11" s="297" t="s">
        <v>91</v>
      </c>
      <c r="AQ11" s="297" t="s">
        <v>89</v>
      </c>
      <c r="AR11" s="297" t="s">
        <v>92</v>
      </c>
      <c r="AS11" s="297" t="s">
        <v>91</v>
      </c>
      <c r="AT11" s="297"/>
      <c r="AU11" s="297"/>
      <c r="AV11" s="297"/>
      <c r="AW11" s="298"/>
      <c r="AX11" s="299">
        <f>COUNTIF(AD11:AW11,"√")</f>
        <v>11</v>
      </c>
      <c r="AY11" s="300">
        <f>COUNTIF(AD11:AW11," ?")</f>
        <v>4</v>
      </c>
      <c r="AZ11" s="300">
        <f>COUNTIF(AD11:AW11,"X")</f>
        <v>1</v>
      </c>
      <c r="BA11" s="301">
        <f>ROUND((40/$AZ$7)*AX11,0)</f>
        <v>31</v>
      </c>
      <c r="BB11" s="291"/>
    </row>
    <row r="12" spans="1:54" ht="20.25" customHeight="1">
      <c r="A12" s="201">
        <v>2</v>
      </c>
      <c r="B12" s="63" t="str">
        <f>STUDENTS!B16</f>
        <v>ખિમસુરીયા સાહિલકુમાર અરજણભાઇ</v>
      </c>
      <c r="C12" s="302" t="s">
        <v>91</v>
      </c>
      <c r="D12" s="303" t="s">
        <v>91</v>
      </c>
      <c r="E12" s="303" t="s">
        <v>91</v>
      </c>
      <c r="F12" s="303" t="s">
        <v>91</v>
      </c>
      <c r="G12" s="303" t="s">
        <v>91</v>
      </c>
      <c r="H12" s="303" t="s">
        <v>91</v>
      </c>
      <c r="I12" s="303" t="s">
        <v>91</v>
      </c>
      <c r="J12" s="303" t="s">
        <v>91</v>
      </c>
      <c r="K12" s="303" t="s">
        <v>92</v>
      </c>
      <c r="L12" s="303" t="s">
        <v>91</v>
      </c>
      <c r="M12" s="303" t="s">
        <v>92</v>
      </c>
      <c r="N12" s="303" t="s">
        <v>91</v>
      </c>
      <c r="O12" s="303" t="s">
        <v>91</v>
      </c>
      <c r="P12" s="303" t="s">
        <v>89</v>
      </c>
      <c r="Q12" s="303" t="s">
        <v>92</v>
      </c>
      <c r="R12" s="303"/>
      <c r="S12" s="303"/>
      <c r="T12" s="303"/>
      <c r="U12" s="303"/>
      <c r="V12" s="304"/>
      <c r="W12" s="305">
        <f t="shared" ref="W12:W45" si="0">COUNTIF(C12:V12,"√")</f>
        <v>11</v>
      </c>
      <c r="X12" s="306">
        <f t="shared" ref="X12:X45" si="1">COUNTIF(C12:V12," ?")</f>
        <v>3</v>
      </c>
      <c r="Y12" s="306">
        <f t="shared" ref="Y12:Y45" si="2">COUNTIF(C12:V12,"X")</f>
        <v>1</v>
      </c>
      <c r="Z12" s="307">
        <f>ROUND((40/$Y$7)*W12,0)</f>
        <v>29</v>
      </c>
      <c r="AA12" s="291"/>
      <c r="AB12" s="201">
        <v>2</v>
      </c>
      <c r="AC12" s="63" t="str">
        <f t="shared" ref="AC12:AC45" si="3">B12</f>
        <v>ખિમસુરીયા સાહિલકુમાર અરજણભાઇ</v>
      </c>
      <c r="AD12" s="302" t="s">
        <v>91</v>
      </c>
      <c r="AE12" s="303" t="s">
        <v>91</v>
      </c>
      <c r="AF12" s="303" t="s">
        <v>91</v>
      </c>
      <c r="AG12" s="303" t="s">
        <v>91</v>
      </c>
      <c r="AH12" s="303" t="s">
        <v>91</v>
      </c>
      <c r="AI12" s="303" t="s">
        <v>91</v>
      </c>
      <c r="AJ12" s="303" t="s">
        <v>91</v>
      </c>
      <c r="AK12" s="303" t="s">
        <v>91</v>
      </c>
      <c r="AL12" s="303" t="s">
        <v>92</v>
      </c>
      <c r="AM12" s="303" t="s">
        <v>91</v>
      </c>
      <c r="AN12" s="303" t="s">
        <v>92</v>
      </c>
      <c r="AO12" s="303" t="s">
        <v>91</v>
      </c>
      <c r="AP12" s="303" t="s">
        <v>91</v>
      </c>
      <c r="AQ12" s="303" t="s">
        <v>89</v>
      </c>
      <c r="AR12" s="303"/>
      <c r="AS12" s="303"/>
      <c r="AT12" s="303"/>
      <c r="AU12" s="303"/>
      <c r="AV12" s="303"/>
      <c r="AW12" s="304"/>
      <c r="AX12" s="305">
        <f t="shared" ref="AX12:AX45" si="4">COUNTIF(AD12:AW12,"√")</f>
        <v>11</v>
      </c>
      <c r="AY12" s="306">
        <f t="shared" ref="AY12:AY45" si="5">COUNTIF(AD12:AW12," ?")</f>
        <v>2</v>
      </c>
      <c r="AZ12" s="306">
        <f t="shared" ref="AZ12:AZ45" si="6">COUNTIF(AD12:AW12,"X")</f>
        <v>1</v>
      </c>
      <c r="BA12" s="307">
        <f t="shared" ref="BA12:BA45" si="7">ROUND((40/$AZ$7)*AX12,0)</f>
        <v>31</v>
      </c>
      <c r="BB12" s="291"/>
    </row>
    <row r="13" spans="1:54" ht="20.25" customHeight="1">
      <c r="A13" s="201">
        <v>3</v>
      </c>
      <c r="B13" s="63" t="str">
        <f>STUDENTS!B28</f>
        <v>ગરણિયા મયુરકુમાર અશોકભાઇ</v>
      </c>
      <c r="C13" s="302" t="s">
        <v>91</v>
      </c>
      <c r="D13" s="303" t="s">
        <v>91</v>
      </c>
      <c r="E13" s="303" t="s">
        <v>91</v>
      </c>
      <c r="F13" s="303" t="s">
        <v>91</v>
      </c>
      <c r="G13" s="303" t="s">
        <v>91</v>
      </c>
      <c r="H13" s="303" t="s">
        <v>91</v>
      </c>
      <c r="I13" s="303" t="s">
        <v>91</v>
      </c>
      <c r="J13" s="303" t="s">
        <v>91</v>
      </c>
      <c r="K13" s="303" t="s">
        <v>92</v>
      </c>
      <c r="L13" s="303" t="s">
        <v>91</v>
      </c>
      <c r="M13" s="303" t="s">
        <v>92</v>
      </c>
      <c r="N13" s="303" t="s">
        <v>91</v>
      </c>
      <c r="O13" s="303" t="s">
        <v>91</v>
      </c>
      <c r="P13" s="303" t="s">
        <v>89</v>
      </c>
      <c r="Q13" s="303" t="s">
        <v>92</v>
      </c>
      <c r="R13" s="303"/>
      <c r="S13" s="303"/>
      <c r="T13" s="303"/>
      <c r="U13" s="303"/>
      <c r="V13" s="304"/>
      <c r="W13" s="305">
        <f t="shared" si="0"/>
        <v>11</v>
      </c>
      <c r="X13" s="306">
        <f t="shared" si="1"/>
        <v>3</v>
      </c>
      <c r="Y13" s="306">
        <f t="shared" si="2"/>
        <v>1</v>
      </c>
      <c r="Z13" s="307">
        <f t="shared" ref="Z13:Z45" si="8">ROUND((40/$Y$7)*W13,0)</f>
        <v>29</v>
      </c>
      <c r="AA13" s="291"/>
      <c r="AB13" s="201">
        <v>3</v>
      </c>
      <c r="AC13" s="63" t="str">
        <f t="shared" si="3"/>
        <v>ગરણિયા મયુરકુમાર અશોકભાઇ</v>
      </c>
      <c r="AD13" s="302" t="s">
        <v>91</v>
      </c>
      <c r="AE13" s="303" t="s">
        <v>91</v>
      </c>
      <c r="AF13" s="303" t="s">
        <v>91</v>
      </c>
      <c r="AG13" s="303" t="s">
        <v>91</v>
      </c>
      <c r="AH13" s="303" t="s">
        <v>91</v>
      </c>
      <c r="AI13" s="303" t="s">
        <v>91</v>
      </c>
      <c r="AJ13" s="303" t="s">
        <v>91</v>
      </c>
      <c r="AK13" s="303" t="s">
        <v>91</v>
      </c>
      <c r="AL13" s="303" t="s">
        <v>92</v>
      </c>
      <c r="AM13" s="303" t="s">
        <v>91</v>
      </c>
      <c r="AN13" s="303" t="s">
        <v>92</v>
      </c>
      <c r="AO13" s="303" t="s">
        <v>91</v>
      </c>
      <c r="AP13" s="303" t="s">
        <v>91</v>
      </c>
      <c r="AQ13" s="303" t="s">
        <v>89</v>
      </c>
      <c r="AR13" s="303"/>
      <c r="AS13" s="303"/>
      <c r="AT13" s="303"/>
      <c r="AU13" s="303"/>
      <c r="AV13" s="303"/>
      <c r="AW13" s="304"/>
      <c r="AX13" s="305">
        <f t="shared" si="4"/>
        <v>11</v>
      </c>
      <c r="AY13" s="306">
        <f t="shared" si="5"/>
        <v>2</v>
      </c>
      <c r="AZ13" s="306">
        <f t="shared" si="6"/>
        <v>1</v>
      </c>
      <c r="BA13" s="307">
        <f t="shared" si="7"/>
        <v>31</v>
      </c>
      <c r="BB13" s="291"/>
    </row>
    <row r="14" spans="1:54" ht="20.25" customHeight="1">
      <c r="A14" s="201">
        <v>4</v>
      </c>
      <c r="B14" s="63" t="str">
        <f>STUDENTS!B40</f>
        <v>ગરણિયા અલ્પેશકુમાર મેરામભાઇ</v>
      </c>
      <c r="C14" s="302" t="s">
        <v>91</v>
      </c>
      <c r="D14" s="303" t="s">
        <v>91</v>
      </c>
      <c r="E14" s="303" t="s">
        <v>91</v>
      </c>
      <c r="F14" s="303" t="s">
        <v>91</v>
      </c>
      <c r="G14" s="303" t="s">
        <v>91</v>
      </c>
      <c r="H14" s="303" t="s">
        <v>91</v>
      </c>
      <c r="I14" s="303" t="s">
        <v>91</v>
      </c>
      <c r="J14" s="303" t="s">
        <v>91</v>
      </c>
      <c r="K14" s="303" t="s">
        <v>92</v>
      </c>
      <c r="L14" s="303" t="s">
        <v>91</v>
      </c>
      <c r="M14" s="303" t="s">
        <v>92</v>
      </c>
      <c r="N14" s="303" t="s">
        <v>91</v>
      </c>
      <c r="O14" s="303" t="s">
        <v>91</v>
      </c>
      <c r="P14" s="303" t="s">
        <v>89</v>
      </c>
      <c r="Q14" s="303" t="s">
        <v>92</v>
      </c>
      <c r="R14" s="303"/>
      <c r="S14" s="303"/>
      <c r="T14" s="303"/>
      <c r="U14" s="303"/>
      <c r="V14" s="304"/>
      <c r="W14" s="305">
        <f t="shared" si="0"/>
        <v>11</v>
      </c>
      <c r="X14" s="306">
        <f t="shared" si="1"/>
        <v>3</v>
      </c>
      <c r="Y14" s="306">
        <f t="shared" si="2"/>
        <v>1</v>
      </c>
      <c r="Z14" s="307">
        <f t="shared" si="8"/>
        <v>29</v>
      </c>
      <c r="AA14" s="291"/>
      <c r="AB14" s="201">
        <v>4</v>
      </c>
      <c r="AC14" s="63" t="str">
        <f t="shared" si="3"/>
        <v>ગરણિયા અલ્પેશકુમાર મેરામભાઇ</v>
      </c>
      <c r="AD14" s="302" t="s">
        <v>91</v>
      </c>
      <c r="AE14" s="303" t="s">
        <v>91</v>
      </c>
      <c r="AF14" s="303" t="s">
        <v>91</v>
      </c>
      <c r="AG14" s="303" t="s">
        <v>91</v>
      </c>
      <c r="AH14" s="303" t="s">
        <v>91</v>
      </c>
      <c r="AI14" s="303" t="s">
        <v>91</v>
      </c>
      <c r="AJ14" s="303" t="s">
        <v>91</v>
      </c>
      <c r="AK14" s="303" t="s">
        <v>91</v>
      </c>
      <c r="AL14" s="303" t="s">
        <v>92</v>
      </c>
      <c r="AM14" s="303" t="s">
        <v>91</v>
      </c>
      <c r="AN14" s="303" t="s">
        <v>92</v>
      </c>
      <c r="AO14" s="303" t="s">
        <v>91</v>
      </c>
      <c r="AP14" s="303" t="s">
        <v>91</v>
      </c>
      <c r="AQ14" s="303" t="s">
        <v>89</v>
      </c>
      <c r="AR14" s="303"/>
      <c r="AS14" s="303"/>
      <c r="AT14" s="303"/>
      <c r="AU14" s="303"/>
      <c r="AV14" s="303"/>
      <c r="AW14" s="304"/>
      <c r="AX14" s="305">
        <f t="shared" si="4"/>
        <v>11</v>
      </c>
      <c r="AY14" s="306">
        <f t="shared" si="5"/>
        <v>2</v>
      </c>
      <c r="AZ14" s="306">
        <f t="shared" si="6"/>
        <v>1</v>
      </c>
      <c r="BA14" s="307">
        <f t="shared" si="7"/>
        <v>31</v>
      </c>
      <c r="BB14" s="291"/>
    </row>
    <row r="15" spans="1:54" ht="20.25" customHeight="1">
      <c r="A15" s="201">
        <v>5</v>
      </c>
      <c r="B15" s="63" t="str">
        <f>STUDENTS!B52</f>
        <v>ગરણિયા મિલન પોપટભાઇ</v>
      </c>
      <c r="C15" s="302" t="s">
        <v>91</v>
      </c>
      <c r="D15" s="303" t="s">
        <v>91</v>
      </c>
      <c r="E15" s="303" t="s">
        <v>91</v>
      </c>
      <c r="F15" s="303" t="s">
        <v>91</v>
      </c>
      <c r="G15" s="303" t="s">
        <v>91</v>
      </c>
      <c r="H15" s="303" t="s">
        <v>91</v>
      </c>
      <c r="I15" s="303" t="s">
        <v>91</v>
      </c>
      <c r="J15" s="303" t="s">
        <v>91</v>
      </c>
      <c r="K15" s="303" t="s">
        <v>92</v>
      </c>
      <c r="L15" s="303" t="s">
        <v>91</v>
      </c>
      <c r="M15" s="303" t="s">
        <v>92</v>
      </c>
      <c r="N15" s="303" t="s">
        <v>91</v>
      </c>
      <c r="O15" s="303" t="s">
        <v>91</v>
      </c>
      <c r="P15" s="303" t="s">
        <v>89</v>
      </c>
      <c r="Q15" s="303" t="s">
        <v>92</v>
      </c>
      <c r="R15" s="303"/>
      <c r="S15" s="303"/>
      <c r="T15" s="303"/>
      <c r="U15" s="303"/>
      <c r="V15" s="304"/>
      <c r="W15" s="305">
        <f t="shared" si="0"/>
        <v>11</v>
      </c>
      <c r="X15" s="306">
        <f t="shared" si="1"/>
        <v>3</v>
      </c>
      <c r="Y15" s="306">
        <f t="shared" si="2"/>
        <v>1</v>
      </c>
      <c r="Z15" s="307">
        <f t="shared" si="8"/>
        <v>29</v>
      </c>
      <c r="AA15" s="291"/>
      <c r="AB15" s="201">
        <v>5</v>
      </c>
      <c r="AC15" s="63" t="str">
        <f t="shared" si="3"/>
        <v>ગરણિયા મિલન પોપટભાઇ</v>
      </c>
      <c r="AD15" s="302" t="s">
        <v>91</v>
      </c>
      <c r="AE15" s="303" t="s">
        <v>91</v>
      </c>
      <c r="AF15" s="303" t="s">
        <v>91</v>
      </c>
      <c r="AG15" s="303" t="s">
        <v>91</v>
      </c>
      <c r="AH15" s="303" t="s">
        <v>91</v>
      </c>
      <c r="AI15" s="303" t="s">
        <v>91</v>
      </c>
      <c r="AJ15" s="303" t="s">
        <v>91</v>
      </c>
      <c r="AK15" s="303" t="s">
        <v>91</v>
      </c>
      <c r="AL15" s="303" t="s">
        <v>92</v>
      </c>
      <c r="AM15" s="303" t="s">
        <v>91</v>
      </c>
      <c r="AN15" s="303" t="s">
        <v>92</v>
      </c>
      <c r="AO15" s="303" t="s">
        <v>91</v>
      </c>
      <c r="AP15" s="303" t="s">
        <v>91</v>
      </c>
      <c r="AQ15" s="303" t="s">
        <v>89</v>
      </c>
      <c r="AR15" s="303"/>
      <c r="AS15" s="303"/>
      <c r="AT15" s="303"/>
      <c r="AU15" s="303"/>
      <c r="AV15" s="303"/>
      <c r="AW15" s="304"/>
      <c r="AX15" s="305">
        <f t="shared" si="4"/>
        <v>11</v>
      </c>
      <c r="AY15" s="306">
        <f t="shared" si="5"/>
        <v>2</v>
      </c>
      <c r="AZ15" s="306">
        <f t="shared" si="6"/>
        <v>1</v>
      </c>
      <c r="BA15" s="307">
        <f t="shared" si="7"/>
        <v>31</v>
      </c>
      <c r="BB15" s="291"/>
    </row>
    <row r="16" spans="1:54" ht="20.25" customHeight="1">
      <c r="A16" s="201">
        <v>6</v>
      </c>
      <c r="B16" s="63" t="str">
        <f>STUDENTS!B64</f>
        <v>ગરણિયા મોહિત રાવતભાઇ</v>
      </c>
      <c r="C16" s="302" t="s">
        <v>91</v>
      </c>
      <c r="D16" s="303" t="s">
        <v>91</v>
      </c>
      <c r="E16" s="303" t="s">
        <v>91</v>
      </c>
      <c r="F16" s="303" t="s">
        <v>91</v>
      </c>
      <c r="G16" s="303" t="s">
        <v>91</v>
      </c>
      <c r="H16" s="303" t="s">
        <v>91</v>
      </c>
      <c r="I16" s="303" t="s">
        <v>91</v>
      </c>
      <c r="J16" s="303" t="s">
        <v>91</v>
      </c>
      <c r="K16" s="303" t="s">
        <v>92</v>
      </c>
      <c r="L16" s="303" t="s">
        <v>91</v>
      </c>
      <c r="M16" s="303" t="s">
        <v>92</v>
      </c>
      <c r="N16" s="303" t="s">
        <v>92</v>
      </c>
      <c r="O16" s="303" t="s">
        <v>91</v>
      </c>
      <c r="P16" s="303" t="s">
        <v>89</v>
      </c>
      <c r="Q16" s="303" t="s">
        <v>92</v>
      </c>
      <c r="R16" s="303"/>
      <c r="S16" s="303"/>
      <c r="T16" s="303"/>
      <c r="U16" s="303"/>
      <c r="V16" s="304"/>
      <c r="W16" s="305">
        <f t="shared" si="0"/>
        <v>10</v>
      </c>
      <c r="X16" s="306">
        <f t="shared" si="1"/>
        <v>4</v>
      </c>
      <c r="Y16" s="306">
        <f t="shared" si="2"/>
        <v>1</v>
      </c>
      <c r="Z16" s="307">
        <f t="shared" si="8"/>
        <v>27</v>
      </c>
      <c r="AA16" s="291"/>
      <c r="AB16" s="201">
        <v>6</v>
      </c>
      <c r="AC16" s="63" t="str">
        <f t="shared" si="3"/>
        <v>ગરણિયા મોહિત રાવતભાઇ</v>
      </c>
      <c r="AD16" s="302" t="s">
        <v>91</v>
      </c>
      <c r="AE16" s="303" t="s">
        <v>91</v>
      </c>
      <c r="AF16" s="303" t="s">
        <v>91</v>
      </c>
      <c r="AG16" s="303" t="s">
        <v>91</v>
      </c>
      <c r="AH16" s="303" t="s">
        <v>91</v>
      </c>
      <c r="AI16" s="303" t="s">
        <v>91</v>
      </c>
      <c r="AJ16" s="303" t="s">
        <v>91</v>
      </c>
      <c r="AK16" s="303" t="s">
        <v>91</v>
      </c>
      <c r="AL16" s="303" t="s">
        <v>92</v>
      </c>
      <c r="AM16" s="303" t="s">
        <v>91</v>
      </c>
      <c r="AN16" s="303" t="s">
        <v>92</v>
      </c>
      <c r="AO16" s="303" t="s">
        <v>92</v>
      </c>
      <c r="AP16" s="303" t="s">
        <v>91</v>
      </c>
      <c r="AQ16" s="303" t="s">
        <v>89</v>
      </c>
      <c r="AR16" s="303"/>
      <c r="AS16" s="303"/>
      <c r="AT16" s="303"/>
      <c r="AU16" s="303"/>
      <c r="AV16" s="303"/>
      <c r="AW16" s="304"/>
      <c r="AX16" s="305">
        <f t="shared" si="4"/>
        <v>10</v>
      </c>
      <c r="AY16" s="306">
        <f t="shared" si="5"/>
        <v>3</v>
      </c>
      <c r="AZ16" s="306">
        <f t="shared" si="6"/>
        <v>1</v>
      </c>
      <c r="BA16" s="307">
        <f t="shared" si="7"/>
        <v>29</v>
      </c>
      <c r="BB16" s="291"/>
    </row>
    <row r="17" spans="1:54" ht="20.25" customHeight="1">
      <c r="A17" s="201">
        <v>7</v>
      </c>
      <c r="B17" s="63" t="str">
        <f>STUDENTS!B76</f>
        <v>ગરણિયા સુમિત પોપટભાઇ</v>
      </c>
      <c r="C17" s="302" t="s">
        <v>91</v>
      </c>
      <c r="D17" s="303" t="s">
        <v>91</v>
      </c>
      <c r="E17" s="303" t="s">
        <v>91</v>
      </c>
      <c r="F17" s="303" t="s">
        <v>91</v>
      </c>
      <c r="G17" s="303" t="s">
        <v>91</v>
      </c>
      <c r="H17" s="303" t="s">
        <v>91</v>
      </c>
      <c r="I17" s="303" t="s">
        <v>91</v>
      </c>
      <c r="J17" s="303" t="s">
        <v>91</v>
      </c>
      <c r="K17" s="303" t="s">
        <v>92</v>
      </c>
      <c r="L17" s="303" t="s">
        <v>91</v>
      </c>
      <c r="M17" s="303" t="s">
        <v>92</v>
      </c>
      <c r="N17" s="303" t="s">
        <v>89</v>
      </c>
      <c r="O17" s="303" t="s">
        <v>91</v>
      </c>
      <c r="P17" s="303" t="s">
        <v>89</v>
      </c>
      <c r="Q17" s="303" t="s">
        <v>92</v>
      </c>
      <c r="R17" s="303"/>
      <c r="S17" s="303"/>
      <c r="T17" s="303"/>
      <c r="U17" s="303"/>
      <c r="V17" s="304"/>
      <c r="W17" s="305">
        <f t="shared" si="0"/>
        <v>10</v>
      </c>
      <c r="X17" s="306">
        <f t="shared" si="1"/>
        <v>3</v>
      </c>
      <c r="Y17" s="306">
        <f t="shared" si="2"/>
        <v>2</v>
      </c>
      <c r="Z17" s="307">
        <f t="shared" si="8"/>
        <v>27</v>
      </c>
      <c r="AA17" s="291"/>
      <c r="AB17" s="201">
        <v>7</v>
      </c>
      <c r="AC17" s="63" t="str">
        <f t="shared" si="3"/>
        <v>ગરણિયા સુમિત પોપટભાઇ</v>
      </c>
      <c r="AD17" s="302" t="s">
        <v>91</v>
      </c>
      <c r="AE17" s="303" t="s">
        <v>91</v>
      </c>
      <c r="AF17" s="303" t="s">
        <v>91</v>
      </c>
      <c r="AG17" s="303" t="s">
        <v>91</v>
      </c>
      <c r="AH17" s="303" t="s">
        <v>91</v>
      </c>
      <c r="AI17" s="303" t="s">
        <v>91</v>
      </c>
      <c r="AJ17" s="303" t="s">
        <v>91</v>
      </c>
      <c r="AK17" s="303" t="s">
        <v>91</v>
      </c>
      <c r="AL17" s="303" t="s">
        <v>92</v>
      </c>
      <c r="AM17" s="303" t="s">
        <v>91</v>
      </c>
      <c r="AN17" s="303" t="s">
        <v>92</v>
      </c>
      <c r="AO17" s="303" t="s">
        <v>89</v>
      </c>
      <c r="AP17" s="303" t="s">
        <v>91</v>
      </c>
      <c r="AQ17" s="303" t="s">
        <v>89</v>
      </c>
      <c r="AR17" s="303"/>
      <c r="AS17" s="303"/>
      <c r="AT17" s="303"/>
      <c r="AU17" s="303"/>
      <c r="AV17" s="303"/>
      <c r="AW17" s="304"/>
      <c r="AX17" s="305">
        <f t="shared" si="4"/>
        <v>10</v>
      </c>
      <c r="AY17" s="306">
        <f t="shared" si="5"/>
        <v>2</v>
      </c>
      <c r="AZ17" s="306">
        <f t="shared" si="6"/>
        <v>2</v>
      </c>
      <c r="BA17" s="307">
        <f t="shared" si="7"/>
        <v>29</v>
      </c>
      <c r="BB17" s="291"/>
    </row>
    <row r="18" spans="1:54" ht="20.25" customHeight="1">
      <c r="A18" s="201">
        <v>8</v>
      </c>
      <c r="B18" s="63" t="str">
        <f>STUDENTS!B88</f>
        <v>ગરણિયા રામકુભાઇ સાર્દૂળભાઇ</v>
      </c>
      <c r="C18" s="302" t="s">
        <v>91</v>
      </c>
      <c r="D18" s="303" t="s">
        <v>91</v>
      </c>
      <c r="E18" s="303" t="s">
        <v>91</v>
      </c>
      <c r="F18" s="303" t="s">
        <v>91</v>
      </c>
      <c r="G18" s="303" t="s">
        <v>91</v>
      </c>
      <c r="H18" s="303" t="s">
        <v>91</v>
      </c>
      <c r="I18" s="303" t="s">
        <v>91</v>
      </c>
      <c r="J18" s="303" t="s">
        <v>91</v>
      </c>
      <c r="K18" s="303" t="s">
        <v>92</v>
      </c>
      <c r="L18" s="303" t="s">
        <v>91</v>
      </c>
      <c r="M18" s="303" t="s">
        <v>92</v>
      </c>
      <c r="N18" s="303" t="s">
        <v>91</v>
      </c>
      <c r="O18" s="303" t="s">
        <v>91</v>
      </c>
      <c r="P18" s="303" t="s">
        <v>89</v>
      </c>
      <c r="Q18" s="303" t="s">
        <v>92</v>
      </c>
      <c r="R18" s="303"/>
      <c r="S18" s="303"/>
      <c r="T18" s="303"/>
      <c r="U18" s="303"/>
      <c r="V18" s="304"/>
      <c r="W18" s="305">
        <f t="shared" si="0"/>
        <v>11</v>
      </c>
      <c r="X18" s="306">
        <f t="shared" si="1"/>
        <v>3</v>
      </c>
      <c r="Y18" s="306">
        <f t="shared" si="2"/>
        <v>1</v>
      </c>
      <c r="Z18" s="307">
        <f t="shared" si="8"/>
        <v>29</v>
      </c>
      <c r="AA18" s="291"/>
      <c r="AB18" s="201">
        <v>8</v>
      </c>
      <c r="AC18" s="63" t="str">
        <f t="shared" si="3"/>
        <v>ગરણિયા રામકુભાઇ સાર્દૂળભાઇ</v>
      </c>
      <c r="AD18" s="302" t="s">
        <v>91</v>
      </c>
      <c r="AE18" s="303" t="s">
        <v>91</v>
      </c>
      <c r="AF18" s="303" t="s">
        <v>91</v>
      </c>
      <c r="AG18" s="303" t="s">
        <v>91</v>
      </c>
      <c r="AH18" s="303" t="s">
        <v>91</v>
      </c>
      <c r="AI18" s="303" t="s">
        <v>91</v>
      </c>
      <c r="AJ18" s="303" t="s">
        <v>91</v>
      </c>
      <c r="AK18" s="303" t="s">
        <v>91</v>
      </c>
      <c r="AL18" s="303" t="s">
        <v>92</v>
      </c>
      <c r="AM18" s="303" t="s">
        <v>91</v>
      </c>
      <c r="AN18" s="303" t="s">
        <v>92</v>
      </c>
      <c r="AO18" s="303" t="s">
        <v>91</v>
      </c>
      <c r="AP18" s="303" t="s">
        <v>91</v>
      </c>
      <c r="AQ18" s="303" t="s">
        <v>89</v>
      </c>
      <c r="AR18" s="303"/>
      <c r="AS18" s="303"/>
      <c r="AT18" s="303"/>
      <c r="AU18" s="303"/>
      <c r="AV18" s="303"/>
      <c r="AW18" s="304"/>
      <c r="AX18" s="305">
        <f t="shared" si="4"/>
        <v>11</v>
      </c>
      <c r="AY18" s="306">
        <f t="shared" si="5"/>
        <v>2</v>
      </c>
      <c r="AZ18" s="306">
        <f t="shared" si="6"/>
        <v>1</v>
      </c>
      <c r="BA18" s="307">
        <f t="shared" si="7"/>
        <v>31</v>
      </c>
      <c r="BB18" s="291"/>
    </row>
    <row r="19" spans="1:54" ht="20.25" customHeight="1">
      <c r="A19" s="201">
        <v>9</v>
      </c>
      <c r="B19" s="63" t="str">
        <f>STUDENTS!B100</f>
        <v>ડેર હિતેષકુમાર પ્રતાપભાઇ</v>
      </c>
      <c r="C19" s="302" t="s">
        <v>91</v>
      </c>
      <c r="D19" s="303" t="s">
        <v>91</v>
      </c>
      <c r="E19" s="303" t="s">
        <v>91</v>
      </c>
      <c r="F19" s="303" t="s">
        <v>91</v>
      </c>
      <c r="G19" s="303" t="s">
        <v>91</v>
      </c>
      <c r="H19" s="303" t="s">
        <v>91</v>
      </c>
      <c r="I19" s="303" t="s">
        <v>91</v>
      </c>
      <c r="J19" s="303" t="s">
        <v>91</v>
      </c>
      <c r="K19" s="303" t="s">
        <v>92</v>
      </c>
      <c r="L19" s="303" t="s">
        <v>91</v>
      </c>
      <c r="M19" s="303" t="s">
        <v>92</v>
      </c>
      <c r="N19" s="303" t="s">
        <v>91</v>
      </c>
      <c r="O19" s="303" t="s">
        <v>91</v>
      </c>
      <c r="P19" s="303" t="s">
        <v>89</v>
      </c>
      <c r="Q19" s="303" t="s">
        <v>92</v>
      </c>
      <c r="R19" s="303"/>
      <c r="S19" s="303"/>
      <c r="T19" s="303"/>
      <c r="U19" s="303"/>
      <c r="V19" s="304"/>
      <c r="W19" s="305">
        <f t="shared" si="0"/>
        <v>11</v>
      </c>
      <c r="X19" s="306">
        <f t="shared" si="1"/>
        <v>3</v>
      </c>
      <c r="Y19" s="306">
        <f t="shared" si="2"/>
        <v>1</v>
      </c>
      <c r="Z19" s="307">
        <f t="shared" si="8"/>
        <v>29</v>
      </c>
      <c r="AA19" s="291"/>
      <c r="AB19" s="201">
        <v>9</v>
      </c>
      <c r="AC19" s="63" t="str">
        <f t="shared" si="3"/>
        <v>ડેર હિતેષકુમાર પ્રતાપભાઇ</v>
      </c>
      <c r="AD19" s="302" t="s">
        <v>91</v>
      </c>
      <c r="AE19" s="303" t="s">
        <v>91</v>
      </c>
      <c r="AF19" s="303" t="s">
        <v>91</v>
      </c>
      <c r="AG19" s="303" t="s">
        <v>91</v>
      </c>
      <c r="AH19" s="303" t="s">
        <v>91</v>
      </c>
      <c r="AI19" s="303" t="s">
        <v>91</v>
      </c>
      <c r="AJ19" s="303" t="s">
        <v>91</v>
      </c>
      <c r="AK19" s="303" t="s">
        <v>91</v>
      </c>
      <c r="AL19" s="303" t="s">
        <v>92</v>
      </c>
      <c r="AM19" s="303" t="s">
        <v>91</v>
      </c>
      <c r="AN19" s="303" t="s">
        <v>92</v>
      </c>
      <c r="AO19" s="303" t="s">
        <v>91</v>
      </c>
      <c r="AP19" s="303" t="s">
        <v>91</v>
      </c>
      <c r="AQ19" s="303" t="s">
        <v>89</v>
      </c>
      <c r="AR19" s="303"/>
      <c r="AS19" s="303"/>
      <c r="AT19" s="303"/>
      <c r="AU19" s="303"/>
      <c r="AV19" s="303"/>
      <c r="AW19" s="304"/>
      <c r="AX19" s="305">
        <f t="shared" si="4"/>
        <v>11</v>
      </c>
      <c r="AY19" s="306">
        <f t="shared" si="5"/>
        <v>2</v>
      </c>
      <c r="AZ19" s="306">
        <f t="shared" si="6"/>
        <v>1</v>
      </c>
      <c r="BA19" s="307">
        <f t="shared" si="7"/>
        <v>31</v>
      </c>
      <c r="BB19" s="291"/>
    </row>
    <row r="20" spans="1:54" ht="20.25" customHeight="1">
      <c r="A20" s="201">
        <v>10</v>
      </c>
      <c r="B20" s="63" t="str">
        <f>STUDENTS!B112</f>
        <v>વેકરીયા વિશાલકુમાર દિપકભાઇ</v>
      </c>
      <c r="C20" s="302" t="s">
        <v>91</v>
      </c>
      <c r="D20" s="303" t="s">
        <v>91</v>
      </c>
      <c r="E20" s="303" t="s">
        <v>89</v>
      </c>
      <c r="F20" s="303" t="s">
        <v>91</v>
      </c>
      <c r="G20" s="303" t="s">
        <v>92</v>
      </c>
      <c r="H20" s="303" t="s">
        <v>91</v>
      </c>
      <c r="I20" s="303" t="s">
        <v>91</v>
      </c>
      <c r="J20" s="303" t="s">
        <v>91</v>
      </c>
      <c r="K20" s="303" t="s">
        <v>92</v>
      </c>
      <c r="L20" s="303" t="s">
        <v>91</v>
      </c>
      <c r="M20" s="303" t="s">
        <v>92</v>
      </c>
      <c r="N20" s="303" t="s">
        <v>91</v>
      </c>
      <c r="O20" s="303" t="s">
        <v>91</v>
      </c>
      <c r="P20" s="303" t="s">
        <v>89</v>
      </c>
      <c r="Q20" s="303" t="s">
        <v>92</v>
      </c>
      <c r="R20" s="303"/>
      <c r="S20" s="303"/>
      <c r="T20" s="303"/>
      <c r="U20" s="303"/>
      <c r="V20" s="304"/>
      <c r="W20" s="305">
        <f t="shared" si="0"/>
        <v>9</v>
      </c>
      <c r="X20" s="306">
        <f t="shared" si="1"/>
        <v>4</v>
      </c>
      <c r="Y20" s="306">
        <f t="shared" si="2"/>
        <v>2</v>
      </c>
      <c r="Z20" s="307">
        <f t="shared" si="8"/>
        <v>24</v>
      </c>
      <c r="AA20" s="291"/>
      <c r="AB20" s="201">
        <v>10</v>
      </c>
      <c r="AC20" s="63" t="str">
        <f t="shared" si="3"/>
        <v>વેકરીયા વિશાલકુમાર દિપકભાઇ</v>
      </c>
      <c r="AD20" s="302" t="s">
        <v>91</v>
      </c>
      <c r="AE20" s="303" t="s">
        <v>91</v>
      </c>
      <c r="AF20" s="303" t="s">
        <v>89</v>
      </c>
      <c r="AG20" s="303" t="s">
        <v>91</v>
      </c>
      <c r="AH20" s="303" t="s">
        <v>92</v>
      </c>
      <c r="AI20" s="303" t="s">
        <v>91</v>
      </c>
      <c r="AJ20" s="303" t="s">
        <v>91</v>
      </c>
      <c r="AK20" s="303" t="s">
        <v>91</v>
      </c>
      <c r="AL20" s="303" t="s">
        <v>92</v>
      </c>
      <c r="AM20" s="303" t="s">
        <v>91</v>
      </c>
      <c r="AN20" s="303" t="s">
        <v>92</v>
      </c>
      <c r="AO20" s="303" t="s">
        <v>91</v>
      </c>
      <c r="AP20" s="303" t="s">
        <v>91</v>
      </c>
      <c r="AQ20" s="303" t="s">
        <v>89</v>
      </c>
      <c r="AR20" s="303"/>
      <c r="AS20" s="303"/>
      <c r="AT20" s="303"/>
      <c r="AU20" s="303"/>
      <c r="AV20" s="303"/>
      <c r="AW20" s="304"/>
      <c r="AX20" s="305">
        <f t="shared" si="4"/>
        <v>9</v>
      </c>
      <c r="AY20" s="306">
        <f t="shared" si="5"/>
        <v>3</v>
      </c>
      <c r="AZ20" s="306">
        <f t="shared" si="6"/>
        <v>2</v>
      </c>
      <c r="BA20" s="307">
        <f t="shared" si="7"/>
        <v>26</v>
      </c>
      <c r="BB20" s="291"/>
    </row>
    <row r="21" spans="1:54" ht="20.25" customHeight="1">
      <c r="A21" s="201">
        <v>11</v>
      </c>
      <c r="B21" s="63" t="str">
        <f>STUDENTS!B124</f>
        <v>માણસુરીયા મહેન્દ્રભાઇ ભૂપતભાઇ</v>
      </c>
      <c r="C21" s="302" t="s">
        <v>91</v>
      </c>
      <c r="D21" s="303" t="s">
        <v>91</v>
      </c>
      <c r="E21" s="303" t="s">
        <v>91</v>
      </c>
      <c r="F21" s="303" t="s">
        <v>91</v>
      </c>
      <c r="G21" s="303" t="s">
        <v>91</v>
      </c>
      <c r="H21" s="303" t="s">
        <v>91</v>
      </c>
      <c r="I21" s="303" t="s">
        <v>91</v>
      </c>
      <c r="J21" s="303" t="s">
        <v>91</v>
      </c>
      <c r="K21" s="303" t="s">
        <v>92</v>
      </c>
      <c r="L21" s="303" t="s">
        <v>91</v>
      </c>
      <c r="M21" s="303" t="s">
        <v>92</v>
      </c>
      <c r="N21" s="303" t="s">
        <v>91</v>
      </c>
      <c r="O21" s="303" t="s">
        <v>91</v>
      </c>
      <c r="P21" s="303" t="s">
        <v>89</v>
      </c>
      <c r="Q21" s="303" t="s">
        <v>92</v>
      </c>
      <c r="R21" s="303"/>
      <c r="S21" s="303"/>
      <c r="T21" s="303"/>
      <c r="U21" s="303"/>
      <c r="V21" s="304"/>
      <c r="W21" s="305">
        <f t="shared" si="0"/>
        <v>11</v>
      </c>
      <c r="X21" s="306">
        <f t="shared" si="1"/>
        <v>3</v>
      </c>
      <c r="Y21" s="306">
        <f t="shared" si="2"/>
        <v>1</v>
      </c>
      <c r="Z21" s="307">
        <f t="shared" si="8"/>
        <v>29</v>
      </c>
      <c r="AA21" s="291"/>
      <c r="AB21" s="201">
        <v>11</v>
      </c>
      <c r="AC21" s="63" t="str">
        <f t="shared" si="3"/>
        <v>માણસુરીયા મહેન્દ્રભાઇ ભૂપતભાઇ</v>
      </c>
      <c r="AD21" s="302" t="s">
        <v>91</v>
      </c>
      <c r="AE21" s="303" t="s">
        <v>91</v>
      </c>
      <c r="AF21" s="303" t="s">
        <v>91</v>
      </c>
      <c r="AG21" s="303" t="s">
        <v>91</v>
      </c>
      <c r="AH21" s="303" t="s">
        <v>91</v>
      </c>
      <c r="AI21" s="303" t="s">
        <v>91</v>
      </c>
      <c r="AJ21" s="303" t="s">
        <v>91</v>
      </c>
      <c r="AK21" s="303" t="s">
        <v>91</v>
      </c>
      <c r="AL21" s="303" t="s">
        <v>92</v>
      </c>
      <c r="AM21" s="303" t="s">
        <v>91</v>
      </c>
      <c r="AN21" s="303" t="s">
        <v>92</v>
      </c>
      <c r="AO21" s="303" t="s">
        <v>91</v>
      </c>
      <c r="AP21" s="303" t="s">
        <v>91</v>
      </c>
      <c r="AQ21" s="303" t="s">
        <v>89</v>
      </c>
      <c r="AR21" s="303"/>
      <c r="AS21" s="303"/>
      <c r="AT21" s="303"/>
      <c r="AU21" s="303"/>
      <c r="AV21" s="303"/>
      <c r="AW21" s="304"/>
      <c r="AX21" s="305">
        <f t="shared" si="4"/>
        <v>11</v>
      </c>
      <c r="AY21" s="306">
        <f t="shared" si="5"/>
        <v>2</v>
      </c>
      <c r="AZ21" s="306">
        <f t="shared" si="6"/>
        <v>1</v>
      </c>
      <c r="BA21" s="307">
        <f t="shared" si="7"/>
        <v>31</v>
      </c>
      <c r="BB21" s="291"/>
    </row>
    <row r="22" spans="1:54" ht="20.25" customHeight="1">
      <c r="A22" s="201">
        <v>12</v>
      </c>
      <c r="B22" s="63" t="str">
        <f>STUDENTS!B136</f>
        <v>પરમાર અજયકુમાર રમેશભાઇ</v>
      </c>
      <c r="C22" s="302" t="s">
        <v>91</v>
      </c>
      <c r="D22" s="303" t="s">
        <v>91</v>
      </c>
      <c r="E22" s="303" t="s">
        <v>91</v>
      </c>
      <c r="F22" s="303" t="s">
        <v>91</v>
      </c>
      <c r="G22" s="303" t="s">
        <v>91</v>
      </c>
      <c r="H22" s="303" t="s">
        <v>91</v>
      </c>
      <c r="I22" s="303" t="s">
        <v>91</v>
      </c>
      <c r="J22" s="303" t="s">
        <v>91</v>
      </c>
      <c r="K22" s="303" t="s">
        <v>92</v>
      </c>
      <c r="L22" s="303" t="s">
        <v>91</v>
      </c>
      <c r="M22" s="303" t="s">
        <v>92</v>
      </c>
      <c r="N22" s="303" t="s">
        <v>91</v>
      </c>
      <c r="O22" s="303" t="s">
        <v>91</v>
      </c>
      <c r="P22" s="303" t="s">
        <v>89</v>
      </c>
      <c r="Q22" s="303" t="s">
        <v>92</v>
      </c>
      <c r="R22" s="303"/>
      <c r="S22" s="303"/>
      <c r="T22" s="303"/>
      <c r="U22" s="303"/>
      <c r="V22" s="304"/>
      <c r="W22" s="305">
        <f t="shared" si="0"/>
        <v>11</v>
      </c>
      <c r="X22" s="306">
        <f t="shared" si="1"/>
        <v>3</v>
      </c>
      <c r="Y22" s="306">
        <f t="shared" si="2"/>
        <v>1</v>
      </c>
      <c r="Z22" s="307">
        <f t="shared" si="8"/>
        <v>29</v>
      </c>
      <c r="AA22" s="291"/>
      <c r="AB22" s="201">
        <v>12</v>
      </c>
      <c r="AC22" s="63" t="str">
        <f t="shared" si="3"/>
        <v>પરમાર અજયકુમાર રમેશભાઇ</v>
      </c>
      <c r="AD22" s="302" t="s">
        <v>91</v>
      </c>
      <c r="AE22" s="303" t="s">
        <v>91</v>
      </c>
      <c r="AF22" s="303" t="s">
        <v>91</v>
      </c>
      <c r="AG22" s="303" t="s">
        <v>91</v>
      </c>
      <c r="AH22" s="303" t="s">
        <v>91</v>
      </c>
      <c r="AI22" s="303" t="s">
        <v>91</v>
      </c>
      <c r="AJ22" s="303" t="s">
        <v>91</v>
      </c>
      <c r="AK22" s="303" t="s">
        <v>91</v>
      </c>
      <c r="AL22" s="303" t="s">
        <v>92</v>
      </c>
      <c r="AM22" s="303" t="s">
        <v>91</v>
      </c>
      <c r="AN22" s="303" t="s">
        <v>92</v>
      </c>
      <c r="AO22" s="303" t="s">
        <v>91</v>
      </c>
      <c r="AP22" s="303" t="s">
        <v>91</v>
      </c>
      <c r="AQ22" s="303" t="s">
        <v>89</v>
      </c>
      <c r="AR22" s="303"/>
      <c r="AS22" s="303"/>
      <c r="AT22" s="303"/>
      <c r="AU22" s="303"/>
      <c r="AV22" s="303"/>
      <c r="AW22" s="304"/>
      <c r="AX22" s="305">
        <f t="shared" si="4"/>
        <v>11</v>
      </c>
      <c r="AY22" s="306">
        <f t="shared" si="5"/>
        <v>2</v>
      </c>
      <c r="AZ22" s="306">
        <f t="shared" si="6"/>
        <v>1</v>
      </c>
      <c r="BA22" s="307">
        <f t="shared" si="7"/>
        <v>31</v>
      </c>
      <c r="BB22" s="291"/>
    </row>
    <row r="23" spans="1:54" ht="20.25" customHeight="1">
      <c r="A23" s="201">
        <v>13</v>
      </c>
      <c r="B23" s="63" t="str">
        <f>STUDENTS!B148</f>
        <v>કંડોળીયા અલ્પેશકુમાર ભરતભાઇ</v>
      </c>
      <c r="C23" s="302" t="s">
        <v>92</v>
      </c>
      <c r="D23" s="303" t="s">
        <v>91</v>
      </c>
      <c r="E23" s="303" t="s">
        <v>91</v>
      </c>
      <c r="F23" s="303" t="s">
        <v>91</v>
      </c>
      <c r="G23" s="303" t="s">
        <v>91</v>
      </c>
      <c r="H23" s="303" t="s">
        <v>91</v>
      </c>
      <c r="I23" s="303" t="s">
        <v>91</v>
      </c>
      <c r="J23" s="303" t="s">
        <v>91</v>
      </c>
      <c r="K23" s="303" t="s">
        <v>92</v>
      </c>
      <c r="L23" s="303" t="s">
        <v>91</v>
      </c>
      <c r="M23" s="303" t="s">
        <v>92</v>
      </c>
      <c r="N23" s="303" t="s">
        <v>91</v>
      </c>
      <c r="O23" s="303" t="s">
        <v>91</v>
      </c>
      <c r="P23" s="303" t="s">
        <v>89</v>
      </c>
      <c r="Q23" s="303" t="s">
        <v>92</v>
      </c>
      <c r="R23" s="303"/>
      <c r="S23" s="303"/>
      <c r="T23" s="303"/>
      <c r="U23" s="303"/>
      <c r="V23" s="304"/>
      <c r="W23" s="305">
        <f t="shared" si="0"/>
        <v>10</v>
      </c>
      <c r="X23" s="306">
        <f t="shared" si="1"/>
        <v>4</v>
      </c>
      <c r="Y23" s="306">
        <f t="shared" si="2"/>
        <v>1</v>
      </c>
      <c r="Z23" s="307">
        <f t="shared" si="8"/>
        <v>27</v>
      </c>
      <c r="AA23" s="291"/>
      <c r="AB23" s="201">
        <v>13</v>
      </c>
      <c r="AC23" s="63" t="str">
        <f t="shared" si="3"/>
        <v>કંડોળીયા અલ્પેશકુમાર ભરતભાઇ</v>
      </c>
      <c r="AD23" s="302" t="s">
        <v>92</v>
      </c>
      <c r="AE23" s="303" t="s">
        <v>91</v>
      </c>
      <c r="AF23" s="303" t="s">
        <v>91</v>
      </c>
      <c r="AG23" s="303" t="s">
        <v>91</v>
      </c>
      <c r="AH23" s="303" t="s">
        <v>91</v>
      </c>
      <c r="AI23" s="303" t="s">
        <v>91</v>
      </c>
      <c r="AJ23" s="303" t="s">
        <v>91</v>
      </c>
      <c r="AK23" s="303" t="s">
        <v>91</v>
      </c>
      <c r="AL23" s="303" t="s">
        <v>92</v>
      </c>
      <c r="AM23" s="303" t="s">
        <v>91</v>
      </c>
      <c r="AN23" s="303" t="s">
        <v>92</v>
      </c>
      <c r="AO23" s="303" t="s">
        <v>91</v>
      </c>
      <c r="AP23" s="303" t="s">
        <v>91</v>
      </c>
      <c r="AQ23" s="303" t="s">
        <v>89</v>
      </c>
      <c r="AR23" s="303"/>
      <c r="AS23" s="303"/>
      <c r="AT23" s="303"/>
      <c r="AU23" s="303"/>
      <c r="AV23" s="303"/>
      <c r="AW23" s="304"/>
      <c r="AX23" s="305">
        <f t="shared" si="4"/>
        <v>10</v>
      </c>
      <c r="AY23" s="306">
        <f t="shared" si="5"/>
        <v>3</v>
      </c>
      <c r="AZ23" s="306">
        <f t="shared" si="6"/>
        <v>1</v>
      </c>
      <c r="BA23" s="307">
        <f t="shared" si="7"/>
        <v>29</v>
      </c>
      <c r="BB23" s="291"/>
    </row>
    <row r="24" spans="1:54" ht="20.25" customHeight="1">
      <c r="A24" s="201">
        <v>14</v>
      </c>
      <c r="B24" s="63" t="str">
        <f>STUDENTS!B160</f>
        <v>મકવાણા તરંગકુમાર કિશોરભાઇ</v>
      </c>
      <c r="C24" s="302" t="s">
        <v>91</v>
      </c>
      <c r="D24" s="303" t="s">
        <v>91</v>
      </c>
      <c r="E24" s="303" t="s">
        <v>91</v>
      </c>
      <c r="F24" s="303" t="s">
        <v>91</v>
      </c>
      <c r="G24" s="303" t="s">
        <v>91</v>
      </c>
      <c r="H24" s="303" t="s">
        <v>91</v>
      </c>
      <c r="I24" s="303" t="s">
        <v>91</v>
      </c>
      <c r="J24" s="303" t="s">
        <v>91</v>
      </c>
      <c r="K24" s="303" t="s">
        <v>92</v>
      </c>
      <c r="L24" s="303" t="s">
        <v>91</v>
      </c>
      <c r="M24" s="303" t="s">
        <v>92</v>
      </c>
      <c r="N24" s="303" t="s">
        <v>91</v>
      </c>
      <c r="O24" s="303" t="s">
        <v>91</v>
      </c>
      <c r="P24" s="303" t="s">
        <v>89</v>
      </c>
      <c r="Q24" s="303" t="s">
        <v>92</v>
      </c>
      <c r="R24" s="303"/>
      <c r="S24" s="303"/>
      <c r="T24" s="303"/>
      <c r="U24" s="303"/>
      <c r="V24" s="304"/>
      <c r="W24" s="305">
        <f t="shared" si="0"/>
        <v>11</v>
      </c>
      <c r="X24" s="306">
        <f t="shared" si="1"/>
        <v>3</v>
      </c>
      <c r="Y24" s="306">
        <f t="shared" si="2"/>
        <v>1</v>
      </c>
      <c r="Z24" s="307">
        <f t="shared" si="8"/>
        <v>29</v>
      </c>
      <c r="AA24" s="291"/>
      <c r="AB24" s="201">
        <v>14</v>
      </c>
      <c r="AC24" s="63" t="str">
        <f t="shared" si="3"/>
        <v>મકવાણા તરંગકુમાર કિશોરભાઇ</v>
      </c>
      <c r="AD24" s="302" t="s">
        <v>91</v>
      </c>
      <c r="AE24" s="303" t="s">
        <v>91</v>
      </c>
      <c r="AF24" s="303" t="s">
        <v>91</v>
      </c>
      <c r="AG24" s="303" t="s">
        <v>91</v>
      </c>
      <c r="AH24" s="303" t="s">
        <v>91</v>
      </c>
      <c r="AI24" s="303" t="s">
        <v>91</v>
      </c>
      <c r="AJ24" s="303" t="s">
        <v>91</v>
      </c>
      <c r="AK24" s="303" t="s">
        <v>91</v>
      </c>
      <c r="AL24" s="303" t="s">
        <v>92</v>
      </c>
      <c r="AM24" s="303" t="s">
        <v>91</v>
      </c>
      <c r="AN24" s="303" t="s">
        <v>92</v>
      </c>
      <c r="AO24" s="303" t="s">
        <v>91</v>
      </c>
      <c r="AP24" s="303" t="s">
        <v>91</v>
      </c>
      <c r="AQ24" s="303" t="s">
        <v>89</v>
      </c>
      <c r="AR24" s="303"/>
      <c r="AS24" s="303"/>
      <c r="AT24" s="303"/>
      <c r="AU24" s="303"/>
      <c r="AV24" s="303"/>
      <c r="AW24" s="304"/>
      <c r="AX24" s="305">
        <f t="shared" si="4"/>
        <v>11</v>
      </c>
      <c r="AY24" s="306">
        <f t="shared" si="5"/>
        <v>2</v>
      </c>
      <c r="AZ24" s="306">
        <f t="shared" si="6"/>
        <v>1</v>
      </c>
      <c r="BA24" s="307">
        <f t="shared" si="7"/>
        <v>31</v>
      </c>
      <c r="BB24" s="291"/>
    </row>
    <row r="25" spans="1:54" ht="20.25" customHeight="1">
      <c r="A25" s="201">
        <v>15</v>
      </c>
      <c r="B25" s="63" t="str">
        <f>STUDENTS!B172</f>
        <v>ઢીમેચા સતીષ હનુભાઇ</v>
      </c>
      <c r="C25" s="302" t="s">
        <v>91</v>
      </c>
      <c r="D25" s="303" t="s">
        <v>91</v>
      </c>
      <c r="E25" s="303" t="s">
        <v>91</v>
      </c>
      <c r="F25" s="303" t="s">
        <v>91</v>
      </c>
      <c r="G25" s="303" t="s">
        <v>91</v>
      </c>
      <c r="H25" s="303" t="s">
        <v>91</v>
      </c>
      <c r="I25" s="303" t="s">
        <v>91</v>
      </c>
      <c r="J25" s="303" t="s">
        <v>91</v>
      </c>
      <c r="K25" s="303" t="s">
        <v>92</v>
      </c>
      <c r="L25" s="303" t="s">
        <v>91</v>
      </c>
      <c r="M25" s="303" t="s">
        <v>92</v>
      </c>
      <c r="N25" s="303" t="s">
        <v>91</v>
      </c>
      <c r="O25" s="303" t="s">
        <v>91</v>
      </c>
      <c r="P25" s="303" t="s">
        <v>89</v>
      </c>
      <c r="Q25" s="303" t="s">
        <v>92</v>
      </c>
      <c r="R25" s="303"/>
      <c r="S25" s="303"/>
      <c r="T25" s="303"/>
      <c r="U25" s="303"/>
      <c r="V25" s="304"/>
      <c r="W25" s="305">
        <f t="shared" si="0"/>
        <v>11</v>
      </c>
      <c r="X25" s="306">
        <f t="shared" si="1"/>
        <v>3</v>
      </c>
      <c r="Y25" s="306">
        <f t="shared" si="2"/>
        <v>1</v>
      </c>
      <c r="Z25" s="307">
        <f t="shared" si="8"/>
        <v>29</v>
      </c>
      <c r="AA25" s="291"/>
      <c r="AB25" s="201">
        <v>15</v>
      </c>
      <c r="AC25" s="63" t="str">
        <f t="shared" si="3"/>
        <v>ઢીમેચા સતીષ હનુભાઇ</v>
      </c>
      <c r="AD25" s="302" t="s">
        <v>91</v>
      </c>
      <c r="AE25" s="303" t="s">
        <v>91</v>
      </c>
      <c r="AF25" s="303" t="s">
        <v>91</v>
      </c>
      <c r="AG25" s="303" t="s">
        <v>91</v>
      </c>
      <c r="AH25" s="303" t="s">
        <v>91</v>
      </c>
      <c r="AI25" s="303" t="s">
        <v>91</v>
      </c>
      <c r="AJ25" s="303" t="s">
        <v>91</v>
      </c>
      <c r="AK25" s="303" t="s">
        <v>91</v>
      </c>
      <c r="AL25" s="303" t="s">
        <v>92</v>
      </c>
      <c r="AM25" s="303" t="s">
        <v>91</v>
      </c>
      <c r="AN25" s="303" t="s">
        <v>92</v>
      </c>
      <c r="AO25" s="303" t="s">
        <v>91</v>
      </c>
      <c r="AP25" s="303" t="s">
        <v>91</v>
      </c>
      <c r="AQ25" s="303" t="s">
        <v>89</v>
      </c>
      <c r="AR25" s="303"/>
      <c r="AS25" s="303"/>
      <c r="AT25" s="303"/>
      <c r="AU25" s="303"/>
      <c r="AV25" s="303"/>
      <c r="AW25" s="304"/>
      <c r="AX25" s="305">
        <f t="shared" si="4"/>
        <v>11</v>
      </c>
      <c r="AY25" s="306">
        <f t="shared" si="5"/>
        <v>2</v>
      </c>
      <c r="AZ25" s="306">
        <f t="shared" si="6"/>
        <v>1</v>
      </c>
      <c r="BA25" s="307">
        <f t="shared" si="7"/>
        <v>31</v>
      </c>
      <c r="BB25" s="291"/>
    </row>
    <row r="26" spans="1:54" ht="20.25" customHeight="1">
      <c r="A26" s="201">
        <v>16</v>
      </c>
      <c r="B26" s="63" t="str">
        <f>STUDENTS!B184</f>
        <v>ખુમાણ શિવરાજભાઇ બાબુભાઇ</v>
      </c>
      <c r="C26" s="302" t="s">
        <v>91</v>
      </c>
      <c r="D26" s="303" t="s">
        <v>91</v>
      </c>
      <c r="E26" s="303" t="s">
        <v>91</v>
      </c>
      <c r="F26" s="303" t="s">
        <v>91</v>
      </c>
      <c r="G26" s="303" t="s">
        <v>91</v>
      </c>
      <c r="H26" s="303" t="s">
        <v>91</v>
      </c>
      <c r="I26" s="303" t="s">
        <v>91</v>
      </c>
      <c r="J26" s="303" t="s">
        <v>91</v>
      </c>
      <c r="K26" s="303" t="s">
        <v>92</v>
      </c>
      <c r="L26" s="303" t="s">
        <v>91</v>
      </c>
      <c r="M26" s="303" t="s">
        <v>92</v>
      </c>
      <c r="N26" s="303" t="s">
        <v>91</v>
      </c>
      <c r="O26" s="303" t="s">
        <v>91</v>
      </c>
      <c r="P26" s="303" t="s">
        <v>89</v>
      </c>
      <c r="Q26" s="303" t="s">
        <v>92</v>
      </c>
      <c r="R26" s="303"/>
      <c r="S26" s="303"/>
      <c r="T26" s="303"/>
      <c r="U26" s="303"/>
      <c r="V26" s="304"/>
      <c r="W26" s="305">
        <f t="shared" si="0"/>
        <v>11</v>
      </c>
      <c r="X26" s="306">
        <f t="shared" si="1"/>
        <v>3</v>
      </c>
      <c r="Y26" s="306">
        <f t="shared" si="2"/>
        <v>1</v>
      </c>
      <c r="Z26" s="307">
        <f t="shared" si="8"/>
        <v>29</v>
      </c>
      <c r="AA26" s="291"/>
      <c r="AB26" s="201">
        <v>16</v>
      </c>
      <c r="AC26" s="63" t="str">
        <f t="shared" si="3"/>
        <v>ખુમાણ શિવરાજભાઇ બાબુભાઇ</v>
      </c>
      <c r="AD26" s="302" t="s">
        <v>91</v>
      </c>
      <c r="AE26" s="303" t="s">
        <v>91</v>
      </c>
      <c r="AF26" s="303" t="s">
        <v>91</v>
      </c>
      <c r="AG26" s="303" t="s">
        <v>91</v>
      </c>
      <c r="AH26" s="303" t="s">
        <v>91</v>
      </c>
      <c r="AI26" s="303" t="s">
        <v>91</v>
      </c>
      <c r="AJ26" s="303" t="s">
        <v>91</v>
      </c>
      <c r="AK26" s="303" t="s">
        <v>91</v>
      </c>
      <c r="AL26" s="303" t="s">
        <v>92</v>
      </c>
      <c r="AM26" s="303" t="s">
        <v>91</v>
      </c>
      <c r="AN26" s="303" t="s">
        <v>92</v>
      </c>
      <c r="AO26" s="303" t="s">
        <v>91</v>
      </c>
      <c r="AP26" s="303" t="s">
        <v>91</v>
      </c>
      <c r="AQ26" s="303" t="s">
        <v>89</v>
      </c>
      <c r="AR26" s="303"/>
      <c r="AS26" s="303"/>
      <c r="AT26" s="303"/>
      <c r="AU26" s="303"/>
      <c r="AV26" s="303"/>
      <c r="AW26" s="304"/>
      <c r="AX26" s="305">
        <f t="shared" si="4"/>
        <v>11</v>
      </c>
      <c r="AY26" s="306">
        <f t="shared" si="5"/>
        <v>2</v>
      </c>
      <c r="AZ26" s="306">
        <f t="shared" si="6"/>
        <v>1</v>
      </c>
      <c r="BA26" s="307">
        <f t="shared" si="7"/>
        <v>31</v>
      </c>
      <c r="BB26" s="291"/>
    </row>
    <row r="27" spans="1:54" ht="20.25" customHeight="1">
      <c r="A27" s="201">
        <v>17</v>
      </c>
      <c r="B27" s="63" t="str">
        <f>STUDENTS!B196</f>
        <v>માથાસુરીયા દિનેશભાઇ અમરાભાઇ</v>
      </c>
      <c r="C27" s="302" t="s">
        <v>91</v>
      </c>
      <c r="D27" s="303" t="s">
        <v>91</v>
      </c>
      <c r="E27" s="303" t="s">
        <v>91</v>
      </c>
      <c r="F27" s="303" t="s">
        <v>91</v>
      </c>
      <c r="G27" s="303" t="s">
        <v>91</v>
      </c>
      <c r="H27" s="303" t="s">
        <v>91</v>
      </c>
      <c r="I27" s="303" t="s">
        <v>91</v>
      </c>
      <c r="J27" s="303" t="s">
        <v>91</v>
      </c>
      <c r="K27" s="303" t="s">
        <v>92</v>
      </c>
      <c r="L27" s="303" t="s">
        <v>91</v>
      </c>
      <c r="M27" s="303" t="s">
        <v>92</v>
      </c>
      <c r="N27" s="303" t="s">
        <v>91</v>
      </c>
      <c r="O27" s="303" t="s">
        <v>91</v>
      </c>
      <c r="P27" s="303" t="s">
        <v>89</v>
      </c>
      <c r="Q27" s="303" t="s">
        <v>92</v>
      </c>
      <c r="R27" s="303"/>
      <c r="S27" s="303"/>
      <c r="T27" s="303"/>
      <c r="U27" s="303"/>
      <c r="V27" s="304"/>
      <c r="W27" s="305">
        <f t="shared" si="0"/>
        <v>11</v>
      </c>
      <c r="X27" s="306">
        <f t="shared" si="1"/>
        <v>3</v>
      </c>
      <c r="Y27" s="306">
        <f t="shared" si="2"/>
        <v>1</v>
      </c>
      <c r="Z27" s="307">
        <f t="shared" si="8"/>
        <v>29</v>
      </c>
      <c r="AA27" s="291"/>
      <c r="AB27" s="201">
        <v>17</v>
      </c>
      <c r="AC27" s="63" t="str">
        <f t="shared" si="3"/>
        <v>માથાસુરીયા દિનેશભાઇ અમરાભાઇ</v>
      </c>
      <c r="AD27" s="302" t="s">
        <v>91</v>
      </c>
      <c r="AE27" s="303" t="s">
        <v>91</v>
      </c>
      <c r="AF27" s="303" t="s">
        <v>91</v>
      </c>
      <c r="AG27" s="303" t="s">
        <v>91</v>
      </c>
      <c r="AH27" s="303" t="s">
        <v>91</v>
      </c>
      <c r="AI27" s="303" t="s">
        <v>91</v>
      </c>
      <c r="AJ27" s="303" t="s">
        <v>91</v>
      </c>
      <c r="AK27" s="303" t="s">
        <v>91</v>
      </c>
      <c r="AL27" s="303" t="s">
        <v>92</v>
      </c>
      <c r="AM27" s="303" t="s">
        <v>91</v>
      </c>
      <c r="AN27" s="303" t="s">
        <v>92</v>
      </c>
      <c r="AO27" s="303" t="s">
        <v>91</v>
      </c>
      <c r="AP27" s="303" t="s">
        <v>91</v>
      </c>
      <c r="AQ27" s="303" t="s">
        <v>89</v>
      </c>
      <c r="AR27" s="303"/>
      <c r="AS27" s="303"/>
      <c r="AT27" s="303"/>
      <c r="AU27" s="303"/>
      <c r="AV27" s="303"/>
      <c r="AW27" s="304"/>
      <c r="AX27" s="305">
        <f t="shared" si="4"/>
        <v>11</v>
      </c>
      <c r="AY27" s="306">
        <f t="shared" si="5"/>
        <v>2</v>
      </c>
      <c r="AZ27" s="306">
        <f t="shared" si="6"/>
        <v>1</v>
      </c>
      <c r="BA27" s="307">
        <f t="shared" si="7"/>
        <v>31</v>
      </c>
      <c r="BB27" s="291"/>
    </row>
    <row r="28" spans="1:54" ht="20.25" customHeight="1">
      <c r="A28" s="201">
        <v>18</v>
      </c>
      <c r="B28" s="63" t="str">
        <f>STUDENTS!B208</f>
        <v>વાઘેલા હરેશ જીલુભાઇ</v>
      </c>
      <c r="C28" s="302" t="s">
        <v>91</v>
      </c>
      <c r="D28" s="303" t="s">
        <v>91</v>
      </c>
      <c r="E28" s="303" t="s">
        <v>91</v>
      </c>
      <c r="F28" s="303" t="s">
        <v>91</v>
      </c>
      <c r="G28" s="303" t="s">
        <v>91</v>
      </c>
      <c r="H28" s="303" t="s">
        <v>91</v>
      </c>
      <c r="I28" s="303" t="s">
        <v>91</v>
      </c>
      <c r="J28" s="303" t="s">
        <v>91</v>
      </c>
      <c r="K28" s="303" t="s">
        <v>92</v>
      </c>
      <c r="L28" s="303" t="s">
        <v>91</v>
      </c>
      <c r="M28" s="303" t="s">
        <v>92</v>
      </c>
      <c r="N28" s="303" t="s">
        <v>91</v>
      </c>
      <c r="O28" s="303" t="s">
        <v>91</v>
      </c>
      <c r="P28" s="303" t="s">
        <v>89</v>
      </c>
      <c r="Q28" s="303" t="s">
        <v>92</v>
      </c>
      <c r="R28" s="303"/>
      <c r="S28" s="303"/>
      <c r="T28" s="303"/>
      <c r="U28" s="303"/>
      <c r="V28" s="304"/>
      <c r="W28" s="305">
        <f t="shared" si="0"/>
        <v>11</v>
      </c>
      <c r="X28" s="306">
        <f t="shared" si="1"/>
        <v>3</v>
      </c>
      <c r="Y28" s="306">
        <f t="shared" si="2"/>
        <v>1</v>
      </c>
      <c r="Z28" s="307">
        <f t="shared" si="8"/>
        <v>29</v>
      </c>
      <c r="AA28" s="291"/>
      <c r="AB28" s="201">
        <v>18</v>
      </c>
      <c r="AC28" s="63" t="str">
        <f t="shared" si="3"/>
        <v>વાઘેલા હરેશ જીલુભાઇ</v>
      </c>
      <c r="AD28" s="302" t="s">
        <v>91</v>
      </c>
      <c r="AE28" s="303" t="s">
        <v>91</v>
      </c>
      <c r="AF28" s="303" t="s">
        <v>91</v>
      </c>
      <c r="AG28" s="303" t="s">
        <v>91</v>
      </c>
      <c r="AH28" s="303" t="s">
        <v>91</v>
      </c>
      <c r="AI28" s="303" t="s">
        <v>91</v>
      </c>
      <c r="AJ28" s="303" t="s">
        <v>91</v>
      </c>
      <c r="AK28" s="303" t="s">
        <v>91</v>
      </c>
      <c r="AL28" s="303" t="s">
        <v>92</v>
      </c>
      <c r="AM28" s="303" t="s">
        <v>91</v>
      </c>
      <c r="AN28" s="303" t="s">
        <v>92</v>
      </c>
      <c r="AO28" s="303" t="s">
        <v>91</v>
      </c>
      <c r="AP28" s="303" t="s">
        <v>91</v>
      </c>
      <c r="AQ28" s="303" t="s">
        <v>89</v>
      </c>
      <c r="AR28" s="303"/>
      <c r="AS28" s="303"/>
      <c r="AT28" s="303"/>
      <c r="AU28" s="303"/>
      <c r="AV28" s="303"/>
      <c r="AW28" s="304"/>
      <c r="AX28" s="305">
        <f t="shared" si="4"/>
        <v>11</v>
      </c>
      <c r="AY28" s="306">
        <f t="shared" si="5"/>
        <v>2</v>
      </c>
      <c r="AZ28" s="306">
        <f t="shared" si="6"/>
        <v>1</v>
      </c>
      <c r="BA28" s="307">
        <f t="shared" si="7"/>
        <v>31</v>
      </c>
      <c r="BB28" s="291"/>
    </row>
    <row r="29" spans="1:54" ht="20.25" customHeight="1">
      <c r="A29" s="201">
        <v>19</v>
      </c>
      <c r="B29" s="63" t="str">
        <f>STUDENTS!B220</f>
        <v>પરમાર દિલીપકુમાર મધુભાઇ</v>
      </c>
      <c r="C29" s="302" t="s">
        <v>91</v>
      </c>
      <c r="D29" s="303" t="s">
        <v>91</v>
      </c>
      <c r="E29" s="303" t="s">
        <v>91</v>
      </c>
      <c r="F29" s="303" t="s">
        <v>91</v>
      </c>
      <c r="G29" s="303" t="s">
        <v>91</v>
      </c>
      <c r="H29" s="303" t="s">
        <v>91</v>
      </c>
      <c r="I29" s="303" t="s">
        <v>91</v>
      </c>
      <c r="J29" s="303" t="s">
        <v>91</v>
      </c>
      <c r="K29" s="303" t="s">
        <v>92</v>
      </c>
      <c r="L29" s="303" t="s">
        <v>91</v>
      </c>
      <c r="M29" s="303" t="s">
        <v>92</v>
      </c>
      <c r="N29" s="303" t="s">
        <v>91</v>
      </c>
      <c r="O29" s="303" t="s">
        <v>91</v>
      </c>
      <c r="P29" s="303" t="s">
        <v>89</v>
      </c>
      <c r="Q29" s="303" t="s">
        <v>92</v>
      </c>
      <c r="R29" s="303"/>
      <c r="S29" s="303"/>
      <c r="T29" s="303"/>
      <c r="U29" s="303"/>
      <c r="V29" s="304"/>
      <c r="W29" s="305">
        <f t="shared" si="0"/>
        <v>11</v>
      </c>
      <c r="X29" s="306">
        <f t="shared" si="1"/>
        <v>3</v>
      </c>
      <c r="Y29" s="306">
        <f t="shared" si="2"/>
        <v>1</v>
      </c>
      <c r="Z29" s="307">
        <f t="shared" si="8"/>
        <v>29</v>
      </c>
      <c r="AA29" s="291"/>
      <c r="AB29" s="201">
        <v>19</v>
      </c>
      <c r="AC29" s="63" t="str">
        <f t="shared" si="3"/>
        <v>પરમાર દિલીપકુમાર મધુભાઇ</v>
      </c>
      <c r="AD29" s="302" t="s">
        <v>91</v>
      </c>
      <c r="AE29" s="303" t="s">
        <v>91</v>
      </c>
      <c r="AF29" s="303" t="s">
        <v>91</v>
      </c>
      <c r="AG29" s="303" t="s">
        <v>91</v>
      </c>
      <c r="AH29" s="303" t="s">
        <v>91</v>
      </c>
      <c r="AI29" s="303" t="s">
        <v>91</v>
      </c>
      <c r="AJ29" s="303" t="s">
        <v>91</v>
      </c>
      <c r="AK29" s="303" t="s">
        <v>91</v>
      </c>
      <c r="AL29" s="303" t="s">
        <v>92</v>
      </c>
      <c r="AM29" s="303" t="s">
        <v>91</v>
      </c>
      <c r="AN29" s="303" t="s">
        <v>92</v>
      </c>
      <c r="AO29" s="303" t="s">
        <v>91</v>
      </c>
      <c r="AP29" s="303" t="s">
        <v>91</v>
      </c>
      <c r="AQ29" s="303" t="s">
        <v>89</v>
      </c>
      <c r="AR29" s="303"/>
      <c r="AS29" s="303"/>
      <c r="AT29" s="303"/>
      <c r="AU29" s="303"/>
      <c r="AV29" s="303"/>
      <c r="AW29" s="304"/>
      <c r="AX29" s="305">
        <f t="shared" si="4"/>
        <v>11</v>
      </c>
      <c r="AY29" s="306">
        <f t="shared" si="5"/>
        <v>2</v>
      </c>
      <c r="AZ29" s="306">
        <f t="shared" si="6"/>
        <v>1</v>
      </c>
      <c r="BA29" s="307">
        <f t="shared" si="7"/>
        <v>31</v>
      </c>
      <c r="BB29" s="291"/>
    </row>
    <row r="30" spans="1:54" ht="20.25" customHeight="1">
      <c r="A30" s="201">
        <v>20</v>
      </c>
      <c r="B30" s="63" t="str">
        <f>STUDENTS!B232</f>
        <v>વિરપરા કૃણાલ હરેશભાઇ</v>
      </c>
      <c r="C30" s="302" t="s">
        <v>91</v>
      </c>
      <c r="D30" s="303" t="s">
        <v>91</v>
      </c>
      <c r="E30" s="303" t="s">
        <v>91</v>
      </c>
      <c r="F30" s="303" t="s">
        <v>91</v>
      </c>
      <c r="G30" s="303" t="s">
        <v>91</v>
      </c>
      <c r="H30" s="303" t="s">
        <v>91</v>
      </c>
      <c r="I30" s="303" t="s">
        <v>91</v>
      </c>
      <c r="J30" s="303" t="s">
        <v>91</v>
      </c>
      <c r="K30" s="303" t="s">
        <v>92</v>
      </c>
      <c r="L30" s="303" t="s">
        <v>91</v>
      </c>
      <c r="M30" s="303" t="s">
        <v>92</v>
      </c>
      <c r="N30" s="303" t="s">
        <v>91</v>
      </c>
      <c r="O30" s="303" t="s">
        <v>91</v>
      </c>
      <c r="P30" s="303" t="s">
        <v>89</v>
      </c>
      <c r="Q30" s="303" t="s">
        <v>92</v>
      </c>
      <c r="R30" s="303"/>
      <c r="S30" s="303"/>
      <c r="T30" s="303"/>
      <c r="U30" s="303"/>
      <c r="V30" s="304"/>
      <c r="W30" s="305">
        <f t="shared" si="0"/>
        <v>11</v>
      </c>
      <c r="X30" s="306">
        <f t="shared" si="1"/>
        <v>3</v>
      </c>
      <c r="Y30" s="306">
        <f t="shared" si="2"/>
        <v>1</v>
      </c>
      <c r="Z30" s="307">
        <f t="shared" si="8"/>
        <v>29</v>
      </c>
      <c r="AA30" s="291"/>
      <c r="AB30" s="201">
        <v>20</v>
      </c>
      <c r="AC30" s="63" t="str">
        <f t="shared" si="3"/>
        <v>વિરપરા કૃણાલ હરેશભાઇ</v>
      </c>
      <c r="AD30" s="302" t="s">
        <v>91</v>
      </c>
      <c r="AE30" s="303" t="s">
        <v>91</v>
      </c>
      <c r="AF30" s="303" t="s">
        <v>91</v>
      </c>
      <c r="AG30" s="303" t="s">
        <v>91</v>
      </c>
      <c r="AH30" s="303" t="s">
        <v>91</v>
      </c>
      <c r="AI30" s="303" t="s">
        <v>91</v>
      </c>
      <c r="AJ30" s="303" t="s">
        <v>91</v>
      </c>
      <c r="AK30" s="303" t="s">
        <v>91</v>
      </c>
      <c r="AL30" s="303" t="s">
        <v>92</v>
      </c>
      <c r="AM30" s="303" t="s">
        <v>91</v>
      </c>
      <c r="AN30" s="303" t="s">
        <v>92</v>
      </c>
      <c r="AO30" s="303" t="s">
        <v>91</v>
      </c>
      <c r="AP30" s="303" t="s">
        <v>91</v>
      </c>
      <c r="AQ30" s="303" t="s">
        <v>89</v>
      </c>
      <c r="AR30" s="303"/>
      <c r="AS30" s="303"/>
      <c r="AT30" s="303"/>
      <c r="AU30" s="303"/>
      <c r="AV30" s="303"/>
      <c r="AW30" s="304"/>
      <c r="AX30" s="305">
        <f t="shared" si="4"/>
        <v>11</v>
      </c>
      <c r="AY30" s="306">
        <f t="shared" si="5"/>
        <v>2</v>
      </c>
      <c r="AZ30" s="306">
        <f t="shared" si="6"/>
        <v>1</v>
      </c>
      <c r="BA30" s="307">
        <f t="shared" si="7"/>
        <v>31</v>
      </c>
      <c r="BB30" s="291"/>
    </row>
    <row r="31" spans="1:54" ht="20.25" customHeight="1">
      <c r="A31" s="201">
        <v>21</v>
      </c>
      <c r="B31" s="63" t="str">
        <f>STUDENTS!B244</f>
        <v>મકરૂબિયા જીજ્ઞેશભાઇ અશોકભાઇ</v>
      </c>
      <c r="C31" s="302" t="s">
        <v>91</v>
      </c>
      <c r="D31" s="303" t="s">
        <v>91</v>
      </c>
      <c r="E31" s="303" t="s">
        <v>91</v>
      </c>
      <c r="F31" s="303" t="s">
        <v>91</v>
      </c>
      <c r="G31" s="303" t="s">
        <v>91</v>
      </c>
      <c r="H31" s="303" t="s">
        <v>91</v>
      </c>
      <c r="I31" s="303" t="s">
        <v>91</v>
      </c>
      <c r="J31" s="303" t="s">
        <v>91</v>
      </c>
      <c r="K31" s="303" t="s">
        <v>92</v>
      </c>
      <c r="L31" s="303" t="s">
        <v>91</v>
      </c>
      <c r="M31" s="303" t="s">
        <v>92</v>
      </c>
      <c r="N31" s="303" t="s">
        <v>91</v>
      </c>
      <c r="O31" s="303" t="s">
        <v>91</v>
      </c>
      <c r="P31" s="303" t="s">
        <v>89</v>
      </c>
      <c r="Q31" s="303" t="s">
        <v>92</v>
      </c>
      <c r="R31" s="303"/>
      <c r="S31" s="303"/>
      <c r="T31" s="303"/>
      <c r="U31" s="303"/>
      <c r="V31" s="304"/>
      <c r="W31" s="305">
        <f t="shared" si="0"/>
        <v>11</v>
      </c>
      <c r="X31" s="306">
        <f t="shared" si="1"/>
        <v>3</v>
      </c>
      <c r="Y31" s="306">
        <f t="shared" si="2"/>
        <v>1</v>
      </c>
      <c r="Z31" s="307">
        <f t="shared" si="8"/>
        <v>29</v>
      </c>
      <c r="AA31" s="291"/>
      <c r="AB31" s="201">
        <v>21</v>
      </c>
      <c r="AC31" s="63" t="str">
        <f t="shared" si="3"/>
        <v>મકરૂબિયા જીજ્ઞેશભાઇ અશોકભાઇ</v>
      </c>
      <c r="AD31" s="302" t="s">
        <v>91</v>
      </c>
      <c r="AE31" s="303" t="s">
        <v>91</v>
      </c>
      <c r="AF31" s="303" t="s">
        <v>91</v>
      </c>
      <c r="AG31" s="303" t="s">
        <v>91</v>
      </c>
      <c r="AH31" s="303" t="s">
        <v>91</v>
      </c>
      <c r="AI31" s="303" t="s">
        <v>91</v>
      </c>
      <c r="AJ31" s="303" t="s">
        <v>91</v>
      </c>
      <c r="AK31" s="303" t="s">
        <v>91</v>
      </c>
      <c r="AL31" s="303" t="s">
        <v>92</v>
      </c>
      <c r="AM31" s="303" t="s">
        <v>91</v>
      </c>
      <c r="AN31" s="303" t="s">
        <v>92</v>
      </c>
      <c r="AO31" s="303" t="s">
        <v>91</v>
      </c>
      <c r="AP31" s="303" t="s">
        <v>91</v>
      </c>
      <c r="AQ31" s="303" t="s">
        <v>89</v>
      </c>
      <c r="AR31" s="303"/>
      <c r="AS31" s="303"/>
      <c r="AT31" s="303"/>
      <c r="AU31" s="303"/>
      <c r="AV31" s="303"/>
      <c r="AW31" s="304"/>
      <c r="AX31" s="305">
        <f t="shared" si="4"/>
        <v>11</v>
      </c>
      <c r="AY31" s="306">
        <f t="shared" si="5"/>
        <v>2</v>
      </c>
      <c r="AZ31" s="306">
        <f t="shared" si="6"/>
        <v>1</v>
      </c>
      <c r="BA31" s="307">
        <f t="shared" si="7"/>
        <v>31</v>
      </c>
      <c r="BB31" s="291"/>
    </row>
    <row r="32" spans="1:54" ht="20.25" customHeight="1">
      <c r="A32" s="201">
        <v>22</v>
      </c>
      <c r="B32" s="63" t="str">
        <f>STUDENTS!B256</f>
        <v>ખિમસુરીયા જ્યોત્સના મુકેશભાઇ</v>
      </c>
      <c r="C32" s="302" t="s">
        <v>91</v>
      </c>
      <c r="D32" s="303" t="s">
        <v>91</v>
      </c>
      <c r="E32" s="303" t="s">
        <v>91</v>
      </c>
      <c r="F32" s="303" t="s">
        <v>91</v>
      </c>
      <c r="G32" s="303" t="s">
        <v>91</v>
      </c>
      <c r="H32" s="303" t="s">
        <v>91</v>
      </c>
      <c r="I32" s="303" t="s">
        <v>91</v>
      </c>
      <c r="J32" s="303" t="s">
        <v>91</v>
      </c>
      <c r="K32" s="303" t="s">
        <v>92</v>
      </c>
      <c r="L32" s="303" t="s">
        <v>91</v>
      </c>
      <c r="M32" s="303" t="s">
        <v>92</v>
      </c>
      <c r="N32" s="303" t="s">
        <v>91</v>
      </c>
      <c r="O32" s="303" t="s">
        <v>91</v>
      </c>
      <c r="P32" s="303" t="s">
        <v>89</v>
      </c>
      <c r="Q32" s="303" t="s">
        <v>92</v>
      </c>
      <c r="R32" s="303"/>
      <c r="S32" s="303"/>
      <c r="T32" s="303"/>
      <c r="U32" s="303"/>
      <c r="V32" s="304"/>
      <c r="W32" s="305">
        <f t="shared" si="0"/>
        <v>11</v>
      </c>
      <c r="X32" s="306">
        <f t="shared" si="1"/>
        <v>3</v>
      </c>
      <c r="Y32" s="306">
        <f t="shared" si="2"/>
        <v>1</v>
      </c>
      <c r="Z32" s="307">
        <f t="shared" si="8"/>
        <v>29</v>
      </c>
      <c r="AA32" s="291"/>
      <c r="AB32" s="201">
        <v>22</v>
      </c>
      <c r="AC32" s="63" t="str">
        <f t="shared" si="3"/>
        <v>ખિમસુરીયા જ્યોત્સના મુકેશભાઇ</v>
      </c>
      <c r="AD32" s="302" t="s">
        <v>91</v>
      </c>
      <c r="AE32" s="303" t="s">
        <v>91</v>
      </c>
      <c r="AF32" s="303" t="s">
        <v>91</v>
      </c>
      <c r="AG32" s="303" t="s">
        <v>91</v>
      </c>
      <c r="AH32" s="303" t="s">
        <v>91</v>
      </c>
      <c r="AI32" s="303" t="s">
        <v>91</v>
      </c>
      <c r="AJ32" s="303" t="s">
        <v>91</v>
      </c>
      <c r="AK32" s="303" t="s">
        <v>91</v>
      </c>
      <c r="AL32" s="303" t="s">
        <v>92</v>
      </c>
      <c r="AM32" s="303" t="s">
        <v>91</v>
      </c>
      <c r="AN32" s="303" t="s">
        <v>92</v>
      </c>
      <c r="AO32" s="303" t="s">
        <v>91</v>
      </c>
      <c r="AP32" s="303" t="s">
        <v>91</v>
      </c>
      <c r="AQ32" s="303" t="s">
        <v>89</v>
      </c>
      <c r="AR32" s="303"/>
      <c r="AS32" s="303"/>
      <c r="AT32" s="303"/>
      <c r="AU32" s="303"/>
      <c r="AV32" s="303"/>
      <c r="AW32" s="304"/>
      <c r="AX32" s="305">
        <f t="shared" si="4"/>
        <v>11</v>
      </c>
      <c r="AY32" s="306">
        <f t="shared" si="5"/>
        <v>2</v>
      </c>
      <c r="AZ32" s="306">
        <f t="shared" si="6"/>
        <v>1</v>
      </c>
      <c r="BA32" s="307">
        <f t="shared" si="7"/>
        <v>31</v>
      </c>
      <c r="BB32" s="291"/>
    </row>
    <row r="33" spans="1:54" ht="20.25" customHeight="1">
      <c r="A33" s="201">
        <v>23</v>
      </c>
      <c r="B33" s="63" t="str">
        <f>STUDENTS!B268</f>
        <v>ગરણિયા રાજલબેન સામતભાઇ</v>
      </c>
      <c r="C33" s="302" t="s">
        <v>91</v>
      </c>
      <c r="D33" s="303" t="s">
        <v>91</v>
      </c>
      <c r="E33" s="303" t="s">
        <v>91</v>
      </c>
      <c r="F33" s="303" t="s">
        <v>91</v>
      </c>
      <c r="G33" s="303" t="s">
        <v>91</v>
      </c>
      <c r="H33" s="303" t="s">
        <v>91</v>
      </c>
      <c r="I33" s="303" t="s">
        <v>91</v>
      </c>
      <c r="J33" s="303" t="s">
        <v>91</v>
      </c>
      <c r="K33" s="303" t="s">
        <v>92</v>
      </c>
      <c r="L33" s="303" t="s">
        <v>91</v>
      </c>
      <c r="M33" s="303" t="s">
        <v>92</v>
      </c>
      <c r="N33" s="303" t="s">
        <v>91</v>
      </c>
      <c r="O33" s="303" t="s">
        <v>91</v>
      </c>
      <c r="P33" s="303" t="s">
        <v>89</v>
      </c>
      <c r="Q33" s="303" t="s">
        <v>92</v>
      </c>
      <c r="R33" s="303"/>
      <c r="S33" s="303"/>
      <c r="T33" s="303"/>
      <c r="U33" s="303"/>
      <c r="V33" s="304"/>
      <c r="W33" s="305">
        <f t="shared" si="0"/>
        <v>11</v>
      </c>
      <c r="X33" s="306">
        <f t="shared" si="1"/>
        <v>3</v>
      </c>
      <c r="Y33" s="306">
        <f t="shared" si="2"/>
        <v>1</v>
      </c>
      <c r="Z33" s="307">
        <f t="shared" si="8"/>
        <v>29</v>
      </c>
      <c r="AA33" s="291"/>
      <c r="AB33" s="201">
        <v>23</v>
      </c>
      <c r="AC33" s="63" t="str">
        <f t="shared" si="3"/>
        <v>ગરણિયા રાજલબેન સામતભાઇ</v>
      </c>
      <c r="AD33" s="302" t="s">
        <v>91</v>
      </c>
      <c r="AE33" s="303" t="s">
        <v>91</v>
      </c>
      <c r="AF33" s="303" t="s">
        <v>91</v>
      </c>
      <c r="AG33" s="303" t="s">
        <v>91</v>
      </c>
      <c r="AH33" s="303" t="s">
        <v>91</v>
      </c>
      <c r="AI33" s="303" t="s">
        <v>91</v>
      </c>
      <c r="AJ33" s="303" t="s">
        <v>91</v>
      </c>
      <c r="AK33" s="303" t="s">
        <v>91</v>
      </c>
      <c r="AL33" s="303" t="s">
        <v>92</v>
      </c>
      <c r="AM33" s="303" t="s">
        <v>91</v>
      </c>
      <c r="AN33" s="303" t="s">
        <v>92</v>
      </c>
      <c r="AO33" s="303" t="s">
        <v>91</v>
      </c>
      <c r="AP33" s="303" t="s">
        <v>91</v>
      </c>
      <c r="AQ33" s="303" t="s">
        <v>89</v>
      </c>
      <c r="AR33" s="303"/>
      <c r="AS33" s="303"/>
      <c r="AT33" s="303"/>
      <c r="AU33" s="303"/>
      <c r="AV33" s="303"/>
      <c r="AW33" s="304"/>
      <c r="AX33" s="305">
        <f t="shared" si="4"/>
        <v>11</v>
      </c>
      <c r="AY33" s="306">
        <f t="shared" si="5"/>
        <v>2</v>
      </c>
      <c r="AZ33" s="306">
        <f t="shared" si="6"/>
        <v>1</v>
      </c>
      <c r="BA33" s="307">
        <f t="shared" si="7"/>
        <v>31</v>
      </c>
      <c r="BB33" s="291"/>
    </row>
    <row r="34" spans="1:54" ht="20.25" customHeight="1">
      <c r="A34" s="201">
        <v>24</v>
      </c>
      <c r="B34" s="63" t="str">
        <f>STUDENTS!B280</f>
        <v>ગરણિયા નિરાલીબેન પ્રદીપભાઇ</v>
      </c>
      <c r="C34" s="302" t="s">
        <v>91</v>
      </c>
      <c r="D34" s="303" t="s">
        <v>91</v>
      </c>
      <c r="E34" s="303" t="s">
        <v>91</v>
      </c>
      <c r="F34" s="303" t="s">
        <v>91</v>
      </c>
      <c r="G34" s="303" t="s">
        <v>91</v>
      </c>
      <c r="H34" s="303" t="s">
        <v>91</v>
      </c>
      <c r="I34" s="303" t="s">
        <v>91</v>
      </c>
      <c r="J34" s="303" t="s">
        <v>91</v>
      </c>
      <c r="K34" s="303" t="s">
        <v>92</v>
      </c>
      <c r="L34" s="303" t="s">
        <v>91</v>
      </c>
      <c r="M34" s="303" t="s">
        <v>92</v>
      </c>
      <c r="N34" s="303" t="s">
        <v>91</v>
      </c>
      <c r="O34" s="303" t="s">
        <v>91</v>
      </c>
      <c r="P34" s="303" t="s">
        <v>89</v>
      </c>
      <c r="Q34" s="303" t="s">
        <v>92</v>
      </c>
      <c r="R34" s="303"/>
      <c r="S34" s="303"/>
      <c r="T34" s="303"/>
      <c r="U34" s="303"/>
      <c r="V34" s="304"/>
      <c r="W34" s="305">
        <f t="shared" si="0"/>
        <v>11</v>
      </c>
      <c r="X34" s="306">
        <f t="shared" si="1"/>
        <v>3</v>
      </c>
      <c r="Y34" s="306">
        <f t="shared" si="2"/>
        <v>1</v>
      </c>
      <c r="Z34" s="307">
        <f t="shared" si="8"/>
        <v>29</v>
      </c>
      <c r="AA34" s="291"/>
      <c r="AB34" s="201">
        <v>24</v>
      </c>
      <c r="AC34" s="63" t="str">
        <f t="shared" si="3"/>
        <v>ગરણિયા નિરાલીબેન પ્રદીપભાઇ</v>
      </c>
      <c r="AD34" s="302" t="s">
        <v>91</v>
      </c>
      <c r="AE34" s="303" t="s">
        <v>91</v>
      </c>
      <c r="AF34" s="303" t="s">
        <v>91</v>
      </c>
      <c r="AG34" s="303" t="s">
        <v>91</v>
      </c>
      <c r="AH34" s="303" t="s">
        <v>91</v>
      </c>
      <c r="AI34" s="303" t="s">
        <v>91</v>
      </c>
      <c r="AJ34" s="303" t="s">
        <v>91</v>
      </c>
      <c r="AK34" s="303" t="s">
        <v>91</v>
      </c>
      <c r="AL34" s="303" t="s">
        <v>92</v>
      </c>
      <c r="AM34" s="303" t="s">
        <v>91</v>
      </c>
      <c r="AN34" s="303" t="s">
        <v>92</v>
      </c>
      <c r="AO34" s="303" t="s">
        <v>91</v>
      </c>
      <c r="AP34" s="303" t="s">
        <v>91</v>
      </c>
      <c r="AQ34" s="303" t="s">
        <v>89</v>
      </c>
      <c r="AR34" s="303"/>
      <c r="AS34" s="303"/>
      <c r="AT34" s="303"/>
      <c r="AU34" s="303"/>
      <c r="AV34" s="303"/>
      <c r="AW34" s="304"/>
      <c r="AX34" s="305">
        <f t="shared" si="4"/>
        <v>11</v>
      </c>
      <c r="AY34" s="306">
        <f t="shared" si="5"/>
        <v>2</v>
      </c>
      <c r="AZ34" s="306">
        <f t="shared" si="6"/>
        <v>1</v>
      </c>
      <c r="BA34" s="307">
        <f t="shared" si="7"/>
        <v>31</v>
      </c>
      <c r="BB34" s="291"/>
    </row>
    <row r="35" spans="1:54" ht="20.25" customHeight="1">
      <c r="A35" s="201">
        <v>25</v>
      </c>
      <c r="B35" s="63" t="str">
        <f>STUDENTS!B292</f>
        <v>ગરણિયા રાધાબેન લક્ષ્મણભાઇ</v>
      </c>
      <c r="C35" s="302" t="s">
        <v>91</v>
      </c>
      <c r="D35" s="303" t="s">
        <v>91</v>
      </c>
      <c r="E35" s="303" t="s">
        <v>91</v>
      </c>
      <c r="F35" s="303" t="s">
        <v>91</v>
      </c>
      <c r="G35" s="303" t="s">
        <v>91</v>
      </c>
      <c r="H35" s="303" t="s">
        <v>91</v>
      </c>
      <c r="I35" s="303" t="s">
        <v>91</v>
      </c>
      <c r="J35" s="303" t="s">
        <v>91</v>
      </c>
      <c r="K35" s="303" t="s">
        <v>92</v>
      </c>
      <c r="L35" s="303" t="s">
        <v>91</v>
      </c>
      <c r="M35" s="303" t="s">
        <v>92</v>
      </c>
      <c r="N35" s="303" t="s">
        <v>91</v>
      </c>
      <c r="O35" s="303" t="s">
        <v>91</v>
      </c>
      <c r="P35" s="303" t="s">
        <v>89</v>
      </c>
      <c r="Q35" s="303" t="s">
        <v>92</v>
      </c>
      <c r="R35" s="303"/>
      <c r="S35" s="303"/>
      <c r="T35" s="303"/>
      <c r="U35" s="303"/>
      <c r="V35" s="304"/>
      <c r="W35" s="305">
        <f t="shared" si="0"/>
        <v>11</v>
      </c>
      <c r="X35" s="306">
        <f t="shared" si="1"/>
        <v>3</v>
      </c>
      <c r="Y35" s="306">
        <f t="shared" si="2"/>
        <v>1</v>
      </c>
      <c r="Z35" s="307">
        <f t="shared" si="8"/>
        <v>29</v>
      </c>
      <c r="AA35" s="291"/>
      <c r="AB35" s="201">
        <v>25</v>
      </c>
      <c r="AC35" s="63" t="str">
        <f t="shared" si="3"/>
        <v>ગરણિયા રાધાબેન લક્ષ્મણભાઇ</v>
      </c>
      <c r="AD35" s="302" t="s">
        <v>91</v>
      </c>
      <c r="AE35" s="303" t="s">
        <v>91</v>
      </c>
      <c r="AF35" s="303" t="s">
        <v>91</v>
      </c>
      <c r="AG35" s="303" t="s">
        <v>91</v>
      </c>
      <c r="AH35" s="303" t="s">
        <v>91</v>
      </c>
      <c r="AI35" s="303" t="s">
        <v>91</v>
      </c>
      <c r="AJ35" s="303" t="s">
        <v>91</v>
      </c>
      <c r="AK35" s="303" t="s">
        <v>91</v>
      </c>
      <c r="AL35" s="303" t="s">
        <v>92</v>
      </c>
      <c r="AM35" s="303" t="s">
        <v>91</v>
      </c>
      <c r="AN35" s="303" t="s">
        <v>92</v>
      </c>
      <c r="AO35" s="303" t="s">
        <v>91</v>
      </c>
      <c r="AP35" s="303" t="s">
        <v>91</v>
      </c>
      <c r="AQ35" s="303" t="s">
        <v>89</v>
      </c>
      <c r="AR35" s="303"/>
      <c r="AS35" s="303"/>
      <c r="AT35" s="303"/>
      <c r="AU35" s="303"/>
      <c r="AV35" s="303"/>
      <c r="AW35" s="304"/>
      <c r="AX35" s="305">
        <f t="shared" si="4"/>
        <v>11</v>
      </c>
      <c r="AY35" s="306">
        <f t="shared" si="5"/>
        <v>2</v>
      </c>
      <c r="AZ35" s="306">
        <f t="shared" si="6"/>
        <v>1</v>
      </c>
      <c r="BA35" s="307">
        <f t="shared" si="7"/>
        <v>31</v>
      </c>
      <c r="BB35" s="291"/>
    </row>
    <row r="36" spans="1:54" ht="20.25" customHeight="1">
      <c r="A36" s="201">
        <v>26</v>
      </c>
      <c r="B36" s="63" t="str">
        <f>STUDENTS!B304</f>
        <v>ગૌસ્વામિ મયુરીબેન રમેશગીરી</v>
      </c>
      <c r="C36" s="302" t="s">
        <v>91</v>
      </c>
      <c r="D36" s="303" t="s">
        <v>91</v>
      </c>
      <c r="E36" s="303" t="s">
        <v>91</v>
      </c>
      <c r="F36" s="303" t="s">
        <v>91</v>
      </c>
      <c r="G36" s="303" t="s">
        <v>91</v>
      </c>
      <c r="H36" s="303" t="s">
        <v>91</v>
      </c>
      <c r="I36" s="303" t="s">
        <v>91</v>
      </c>
      <c r="J36" s="303" t="s">
        <v>91</v>
      </c>
      <c r="K36" s="303" t="s">
        <v>92</v>
      </c>
      <c r="L36" s="303" t="s">
        <v>91</v>
      </c>
      <c r="M36" s="303" t="s">
        <v>92</v>
      </c>
      <c r="N36" s="303" t="s">
        <v>91</v>
      </c>
      <c r="O36" s="303" t="s">
        <v>91</v>
      </c>
      <c r="P36" s="303" t="s">
        <v>89</v>
      </c>
      <c r="Q36" s="303" t="s">
        <v>92</v>
      </c>
      <c r="R36" s="303"/>
      <c r="S36" s="303"/>
      <c r="T36" s="303"/>
      <c r="U36" s="303"/>
      <c r="V36" s="304"/>
      <c r="W36" s="305">
        <f t="shared" si="0"/>
        <v>11</v>
      </c>
      <c r="X36" s="306">
        <f t="shared" si="1"/>
        <v>3</v>
      </c>
      <c r="Y36" s="306">
        <f t="shared" si="2"/>
        <v>1</v>
      </c>
      <c r="Z36" s="307">
        <f t="shared" si="8"/>
        <v>29</v>
      </c>
      <c r="AA36" s="291"/>
      <c r="AB36" s="201">
        <v>26</v>
      </c>
      <c r="AC36" s="63" t="str">
        <f t="shared" si="3"/>
        <v>ગૌસ્વામિ મયુરીબેન રમેશગીરી</v>
      </c>
      <c r="AD36" s="302" t="s">
        <v>91</v>
      </c>
      <c r="AE36" s="303" t="s">
        <v>91</v>
      </c>
      <c r="AF36" s="303" t="s">
        <v>91</v>
      </c>
      <c r="AG36" s="303" t="s">
        <v>91</v>
      </c>
      <c r="AH36" s="303" t="s">
        <v>91</v>
      </c>
      <c r="AI36" s="303" t="s">
        <v>91</v>
      </c>
      <c r="AJ36" s="303" t="s">
        <v>91</v>
      </c>
      <c r="AK36" s="303" t="s">
        <v>91</v>
      </c>
      <c r="AL36" s="303" t="s">
        <v>92</v>
      </c>
      <c r="AM36" s="303" t="s">
        <v>91</v>
      </c>
      <c r="AN36" s="303" t="s">
        <v>92</v>
      </c>
      <c r="AO36" s="303" t="s">
        <v>91</v>
      </c>
      <c r="AP36" s="303" t="s">
        <v>91</v>
      </c>
      <c r="AQ36" s="303" t="s">
        <v>89</v>
      </c>
      <c r="AR36" s="303"/>
      <c r="AS36" s="303"/>
      <c r="AT36" s="303"/>
      <c r="AU36" s="303"/>
      <c r="AV36" s="303"/>
      <c r="AW36" s="304"/>
      <c r="AX36" s="305">
        <f t="shared" si="4"/>
        <v>11</v>
      </c>
      <c r="AY36" s="306">
        <f t="shared" si="5"/>
        <v>2</v>
      </c>
      <c r="AZ36" s="306">
        <f t="shared" si="6"/>
        <v>1</v>
      </c>
      <c r="BA36" s="307">
        <f t="shared" si="7"/>
        <v>31</v>
      </c>
      <c r="BB36" s="291"/>
    </row>
    <row r="37" spans="1:54" ht="20.25" customHeight="1">
      <c r="A37" s="201">
        <v>27</v>
      </c>
      <c r="B37" s="63" t="str">
        <f>STUDENTS!B316</f>
        <v>બતાડા જાનકી વાલાભાઇ</v>
      </c>
      <c r="C37" s="302" t="s">
        <v>91</v>
      </c>
      <c r="D37" s="303" t="s">
        <v>91</v>
      </c>
      <c r="E37" s="303" t="s">
        <v>91</v>
      </c>
      <c r="F37" s="303" t="s">
        <v>91</v>
      </c>
      <c r="G37" s="303" t="s">
        <v>91</v>
      </c>
      <c r="H37" s="303" t="s">
        <v>91</v>
      </c>
      <c r="I37" s="303" t="s">
        <v>91</v>
      </c>
      <c r="J37" s="303" t="s">
        <v>91</v>
      </c>
      <c r="K37" s="303" t="s">
        <v>92</v>
      </c>
      <c r="L37" s="303" t="s">
        <v>91</v>
      </c>
      <c r="M37" s="303" t="s">
        <v>92</v>
      </c>
      <c r="N37" s="303" t="s">
        <v>91</v>
      </c>
      <c r="O37" s="303" t="s">
        <v>91</v>
      </c>
      <c r="P37" s="303" t="s">
        <v>89</v>
      </c>
      <c r="Q37" s="303" t="s">
        <v>92</v>
      </c>
      <c r="R37" s="303"/>
      <c r="S37" s="303"/>
      <c r="T37" s="303"/>
      <c r="U37" s="303"/>
      <c r="V37" s="304"/>
      <c r="W37" s="305">
        <f t="shared" si="0"/>
        <v>11</v>
      </c>
      <c r="X37" s="306">
        <f t="shared" si="1"/>
        <v>3</v>
      </c>
      <c r="Y37" s="306">
        <f t="shared" si="2"/>
        <v>1</v>
      </c>
      <c r="Z37" s="307">
        <f t="shared" si="8"/>
        <v>29</v>
      </c>
      <c r="AA37" s="291"/>
      <c r="AB37" s="201">
        <v>27</v>
      </c>
      <c r="AC37" s="63" t="str">
        <f t="shared" si="3"/>
        <v>બતાડા જાનકી વાલાભાઇ</v>
      </c>
      <c r="AD37" s="302" t="s">
        <v>91</v>
      </c>
      <c r="AE37" s="303" t="s">
        <v>91</v>
      </c>
      <c r="AF37" s="303" t="s">
        <v>91</v>
      </c>
      <c r="AG37" s="303" t="s">
        <v>91</v>
      </c>
      <c r="AH37" s="303" t="s">
        <v>91</v>
      </c>
      <c r="AI37" s="303" t="s">
        <v>91</v>
      </c>
      <c r="AJ37" s="303" t="s">
        <v>91</v>
      </c>
      <c r="AK37" s="303" t="s">
        <v>91</v>
      </c>
      <c r="AL37" s="303" t="s">
        <v>92</v>
      </c>
      <c r="AM37" s="303" t="s">
        <v>91</v>
      </c>
      <c r="AN37" s="303" t="s">
        <v>92</v>
      </c>
      <c r="AO37" s="303" t="s">
        <v>91</v>
      </c>
      <c r="AP37" s="303" t="s">
        <v>91</v>
      </c>
      <c r="AQ37" s="303" t="s">
        <v>89</v>
      </c>
      <c r="AR37" s="303"/>
      <c r="AS37" s="303"/>
      <c r="AT37" s="303"/>
      <c r="AU37" s="303"/>
      <c r="AV37" s="303"/>
      <c r="AW37" s="304"/>
      <c r="AX37" s="305">
        <f t="shared" si="4"/>
        <v>11</v>
      </c>
      <c r="AY37" s="306">
        <f t="shared" si="5"/>
        <v>2</v>
      </c>
      <c r="AZ37" s="306">
        <f t="shared" si="6"/>
        <v>1</v>
      </c>
      <c r="BA37" s="307">
        <f t="shared" si="7"/>
        <v>31</v>
      </c>
      <c r="BB37" s="291"/>
    </row>
    <row r="38" spans="1:54" ht="20.25" customHeight="1">
      <c r="A38" s="201">
        <v>28</v>
      </c>
      <c r="B38" s="63" t="str">
        <f>STUDENTS!B328</f>
        <v>બતાડા ક્રિષ્નાબેન દેવશીભાઇ</v>
      </c>
      <c r="C38" s="302" t="s">
        <v>91</v>
      </c>
      <c r="D38" s="303" t="s">
        <v>91</v>
      </c>
      <c r="E38" s="303" t="s">
        <v>91</v>
      </c>
      <c r="F38" s="303" t="s">
        <v>91</v>
      </c>
      <c r="G38" s="303" t="s">
        <v>91</v>
      </c>
      <c r="H38" s="303" t="s">
        <v>91</v>
      </c>
      <c r="I38" s="303" t="s">
        <v>91</v>
      </c>
      <c r="J38" s="303" t="s">
        <v>91</v>
      </c>
      <c r="K38" s="303" t="s">
        <v>92</v>
      </c>
      <c r="L38" s="303" t="s">
        <v>91</v>
      </c>
      <c r="M38" s="303" t="s">
        <v>92</v>
      </c>
      <c r="N38" s="303" t="s">
        <v>91</v>
      </c>
      <c r="O38" s="303" t="s">
        <v>91</v>
      </c>
      <c r="P38" s="303" t="s">
        <v>89</v>
      </c>
      <c r="Q38" s="303" t="s">
        <v>92</v>
      </c>
      <c r="R38" s="303"/>
      <c r="S38" s="303"/>
      <c r="T38" s="303"/>
      <c r="U38" s="303"/>
      <c r="V38" s="304"/>
      <c r="W38" s="305">
        <f t="shared" si="0"/>
        <v>11</v>
      </c>
      <c r="X38" s="306">
        <f t="shared" si="1"/>
        <v>3</v>
      </c>
      <c r="Y38" s="306">
        <f t="shared" si="2"/>
        <v>1</v>
      </c>
      <c r="Z38" s="307">
        <f t="shared" si="8"/>
        <v>29</v>
      </c>
      <c r="AA38" s="291"/>
      <c r="AB38" s="201">
        <v>28</v>
      </c>
      <c r="AC38" s="63" t="str">
        <f t="shared" si="3"/>
        <v>બતાડા ક્રિષ્નાબેન દેવશીભાઇ</v>
      </c>
      <c r="AD38" s="302" t="s">
        <v>91</v>
      </c>
      <c r="AE38" s="303" t="s">
        <v>91</v>
      </c>
      <c r="AF38" s="303" t="s">
        <v>91</v>
      </c>
      <c r="AG38" s="303" t="s">
        <v>91</v>
      </c>
      <c r="AH38" s="303" t="s">
        <v>91</v>
      </c>
      <c r="AI38" s="303" t="s">
        <v>91</v>
      </c>
      <c r="AJ38" s="303" t="s">
        <v>91</v>
      </c>
      <c r="AK38" s="303" t="s">
        <v>91</v>
      </c>
      <c r="AL38" s="303" t="s">
        <v>92</v>
      </c>
      <c r="AM38" s="303" t="s">
        <v>91</v>
      </c>
      <c r="AN38" s="303" t="s">
        <v>92</v>
      </c>
      <c r="AO38" s="303" t="s">
        <v>91</v>
      </c>
      <c r="AP38" s="303" t="s">
        <v>91</v>
      </c>
      <c r="AQ38" s="303" t="s">
        <v>89</v>
      </c>
      <c r="AR38" s="303"/>
      <c r="AS38" s="303"/>
      <c r="AT38" s="303"/>
      <c r="AU38" s="303"/>
      <c r="AV38" s="303"/>
      <c r="AW38" s="304"/>
      <c r="AX38" s="305">
        <f t="shared" si="4"/>
        <v>11</v>
      </c>
      <c r="AY38" s="306">
        <f t="shared" si="5"/>
        <v>2</v>
      </c>
      <c r="AZ38" s="306">
        <f t="shared" si="6"/>
        <v>1</v>
      </c>
      <c r="BA38" s="307">
        <f t="shared" si="7"/>
        <v>31</v>
      </c>
      <c r="BB38" s="291"/>
    </row>
    <row r="39" spans="1:54" ht="20.25" customHeight="1">
      <c r="A39" s="201">
        <v>29</v>
      </c>
      <c r="B39" s="63" t="str">
        <f>STUDENTS!B340</f>
        <v>પરમાર અનિષા રમેશભાઇ</v>
      </c>
      <c r="C39" s="302" t="s">
        <v>91</v>
      </c>
      <c r="D39" s="303" t="s">
        <v>91</v>
      </c>
      <c r="E39" s="303" t="s">
        <v>91</v>
      </c>
      <c r="F39" s="303" t="s">
        <v>91</v>
      </c>
      <c r="G39" s="303" t="s">
        <v>91</v>
      </c>
      <c r="H39" s="303" t="s">
        <v>91</v>
      </c>
      <c r="I39" s="303" t="s">
        <v>91</v>
      </c>
      <c r="J39" s="303" t="s">
        <v>91</v>
      </c>
      <c r="K39" s="303" t="s">
        <v>92</v>
      </c>
      <c r="L39" s="303" t="s">
        <v>91</v>
      </c>
      <c r="M39" s="303" t="s">
        <v>92</v>
      </c>
      <c r="N39" s="303" t="s">
        <v>91</v>
      </c>
      <c r="O39" s="303" t="s">
        <v>91</v>
      </c>
      <c r="P39" s="303" t="s">
        <v>89</v>
      </c>
      <c r="Q39" s="303" t="s">
        <v>92</v>
      </c>
      <c r="R39" s="303"/>
      <c r="S39" s="303"/>
      <c r="T39" s="303"/>
      <c r="U39" s="303"/>
      <c r="V39" s="304"/>
      <c r="W39" s="305">
        <f t="shared" si="0"/>
        <v>11</v>
      </c>
      <c r="X39" s="306">
        <f t="shared" si="1"/>
        <v>3</v>
      </c>
      <c r="Y39" s="306">
        <f t="shared" si="2"/>
        <v>1</v>
      </c>
      <c r="Z39" s="307">
        <f t="shared" si="8"/>
        <v>29</v>
      </c>
      <c r="AA39" s="291"/>
      <c r="AB39" s="201">
        <v>29</v>
      </c>
      <c r="AC39" s="63" t="str">
        <f t="shared" si="3"/>
        <v>પરમાર અનિષા રમેશભાઇ</v>
      </c>
      <c r="AD39" s="302" t="s">
        <v>91</v>
      </c>
      <c r="AE39" s="303" t="s">
        <v>91</v>
      </c>
      <c r="AF39" s="303" t="s">
        <v>91</v>
      </c>
      <c r="AG39" s="303" t="s">
        <v>91</v>
      </c>
      <c r="AH39" s="303" t="s">
        <v>91</v>
      </c>
      <c r="AI39" s="303" t="s">
        <v>91</v>
      </c>
      <c r="AJ39" s="303" t="s">
        <v>91</v>
      </c>
      <c r="AK39" s="303" t="s">
        <v>91</v>
      </c>
      <c r="AL39" s="303" t="s">
        <v>92</v>
      </c>
      <c r="AM39" s="303" t="s">
        <v>91</v>
      </c>
      <c r="AN39" s="303" t="s">
        <v>92</v>
      </c>
      <c r="AO39" s="303" t="s">
        <v>91</v>
      </c>
      <c r="AP39" s="303" t="s">
        <v>91</v>
      </c>
      <c r="AQ39" s="303" t="s">
        <v>89</v>
      </c>
      <c r="AR39" s="303"/>
      <c r="AS39" s="303"/>
      <c r="AT39" s="303"/>
      <c r="AU39" s="303"/>
      <c r="AV39" s="303"/>
      <c r="AW39" s="304"/>
      <c r="AX39" s="305">
        <f t="shared" si="4"/>
        <v>11</v>
      </c>
      <c r="AY39" s="306">
        <f t="shared" si="5"/>
        <v>2</v>
      </c>
      <c r="AZ39" s="306">
        <f t="shared" si="6"/>
        <v>1</v>
      </c>
      <c r="BA39" s="307">
        <f t="shared" si="7"/>
        <v>31</v>
      </c>
      <c r="BB39" s="291"/>
    </row>
    <row r="40" spans="1:54" ht="20.25" customHeight="1">
      <c r="A40" s="201">
        <v>30</v>
      </c>
      <c r="B40" s="63" t="str">
        <f>STUDENTS!B352</f>
        <v>મકરૂબિયા નમ્રતા વશરામભાઇ</v>
      </c>
      <c r="C40" s="302" t="s">
        <v>91</v>
      </c>
      <c r="D40" s="303" t="s">
        <v>91</v>
      </c>
      <c r="E40" s="303" t="s">
        <v>91</v>
      </c>
      <c r="F40" s="303" t="s">
        <v>91</v>
      </c>
      <c r="G40" s="303" t="s">
        <v>91</v>
      </c>
      <c r="H40" s="303" t="s">
        <v>91</v>
      </c>
      <c r="I40" s="303" t="s">
        <v>91</v>
      </c>
      <c r="J40" s="303" t="s">
        <v>91</v>
      </c>
      <c r="K40" s="303" t="s">
        <v>92</v>
      </c>
      <c r="L40" s="303" t="s">
        <v>91</v>
      </c>
      <c r="M40" s="303" t="s">
        <v>92</v>
      </c>
      <c r="N40" s="303" t="s">
        <v>91</v>
      </c>
      <c r="O40" s="303" t="s">
        <v>91</v>
      </c>
      <c r="P40" s="303" t="s">
        <v>89</v>
      </c>
      <c r="Q40" s="303" t="s">
        <v>92</v>
      </c>
      <c r="R40" s="303"/>
      <c r="S40" s="303"/>
      <c r="T40" s="303"/>
      <c r="U40" s="303"/>
      <c r="V40" s="304"/>
      <c r="W40" s="305">
        <f t="shared" si="0"/>
        <v>11</v>
      </c>
      <c r="X40" s="306">
        <f t="shared" si="1"/>
        <v>3</v>
      </c>
      <c r="Y40" s="306">
        <f t="shared" si="2"/>
        <v>1</v>
      </c>
      <c r="Z40" s="307">
        <f t="shared" si="8"/>
        <v>29</v>
      </c>
      <c r="AA40" s="291"/>
      <c r="AB40" s="201">
        <v>30</v>
      </c>
      <c r="AC40" s="63" t="str">
        <f t="shared" si="3"/>
        <v>મકરૂબિયા નમ્રતા વશરામભાઇ</v>
      </c>
      <c r="AD40" s="302" t="s">
        <v>91</v>
      </c>
      <c r="AE40" s="303" t="s">
        <v>91</v>
      </c>
      <c r="AF40" s="303" t="s">
        <v>91</v>
      </c>
      <c r="AG40" s="303" t="s">
        <v>91</v>
      </c>
      <c r="AH40" s="303" t="s">
        <v>91</v>
      </c>
      <c r="AI40" s="303" t="s">
        <v>91</v>
      </c>
      <c r="AJ40" s="303" t="s">
        <v>91</v>
      </c>
      <c r="AK40" s="303" t="s">
        <v>91</v>
      </c>
      <c r="AL40" s="303" t="s">
        <v>92</v>
      </c>
      <c r="AM40" s="303" t="s">
        <v>91</v>
      </c>
      <c r="AN40" s="303" t="s">
        <v>92</v>
      </c>
      <c r="AO40" s="303" t="s">
        <v>91</v>
      </c>
      <c r="AP40" s="303" t="s">
        <v>91</v>
      </c>
      <c r="AQ40" s="303" t="s">
        <v>89</v>
      </c>
      <c r="AR40" s="303"/>
      <c r="AS40" s="303"/>
      <c r="AT40" s="303"/>
      <c r="AU40" s="303"/>
      <c r="AV40" s="303"/>
      <c r="AW40" s="304"/>
      <c r="AX40" s="305">
        <f t="shared" si="4"/>
        <v>11</v>
      </c>
      <c r="AY40" s="306">
        <f t="shared" si="5"/>
        <v>2</v>
      </c>
      <c r="AZ40" s="306">
        <f t="shared" si="6"/>
        <v>1</v>
      </c>
      <c r="BA40" s="307">
        <f t="shared" si="7"/>
        <v>31</v>
      </c>
      <c r="BB40" s="291"/>
    </row>
    <row r="41" spans="1:54" ht="20.25" customHeight="1">
      <c r="A41" s="201">
        <v>31</v>
      </c>
      <c r="B41" s="63">
        <f>STUDENTS!B364</f>
        <v>0</v>
      </c>
      <c r="C41" s="302"/>
      <c r="D41" s="303"/>
      <c r="E41" s="303"/>
      <c r="F41" s="303"/>
      <c r="G41" s="303"/>
      <c r="H41" s="303"/>
      <c r="I41" s="303"/>
      <c r="J41" s="303"/>
      <c r="K41" s="303"/>
      <c r="L41" s="303"/>
      <c r="M41" s="303"/>
      <c r="N41" s="303"/>
      <c r="O41" s="303"/>
      <c r="P41" s="303"/>
      <c r="Q41" s="303"/>
      <c r="R41" s="303"/>
      <c r="S41" s="303"/>
      <c r="T41" s="303"/>
      <c r="U41" s="303"/>
      <c r="V41" s="304"/>
      <c r="W41" s="305">
        <f t="shared" si="0"/>
        <v>0</v>
      </c>
      <c r="X41" s="306">
        <f t="shared" si="1"/>
        <v>0</v>
      </c>
      <c r="Y41" s="306">
        <f t="shared" si="2"/>
        <v>0</v>
      </c>
      <c r="Z41" s="307">
        <f t="shared" si="8"/>
        <v>0</v>
      </c>
      <c r="AA41" s="291"/>
      <c r="AB41" s="201">
        <v>31</v>
      </c>
      <c r="AC41" s="63">
        <f t="shared" si="3"/>
        <v>0</v>
      </c>
      <c r="AD41" s="302"/>
      <c r="AE41" s="303"/>
      <c r="AF41" s="303"/>
      <c r="AG41" s="303"/>
      <c r="AH41" s="303"/>
      <c r="AI41" s="303"/>
      <c r="AJ41" s="303"/>
      <c r="AK41" s="303"/>
      <c r="AL41" s="303"/>
      <c r="AM41" s="303"/>
      <c r="AN41" s="303"/>
      <c r="AO41" s="303"/>
      <c r="AP41" s="303"/>
      <c r="AQ41" s="303"/>
      <c r="AR41" s="303"/>
      <c r="AS41" s="303"/>
      <c r="AT41" s="303"/>
      <c r="AU41" s="303"/>
      <c r="AV41" s="303"/>
      <c r="AW41" s="304"/>
      <c r="AX41" s="305">
        <f t="shared" si="4"/>
        <v>0</v>
      </c>
      <c r="AY41" s="306">
        <f t="shared" si="5"/>
        <v>0</v>
      </c>
      <c r="AZ41" s="306">
        <f t="shared" si="6"/>
        <v>0</v>
      </c>
      <c r="BA41" s="307">
        <f t="shared" si="7"/>
        <v>0</v>
      </c>
      <c r="BB41" s="291"/>
    </row>
    <row r="42" spans="1:54" ht="20.25" customHeight="1">
      <c r="A42" s="201">
        <v>32</v>
      </c>
      <c r="B42" s="63">
        <f>STUDENTS!B376</f>
        <v>0</v>
      </c>
      <c r="C42" s="302"/>
      <c r="D42" s="303"/>
      <c r="E42" s="303"/>
      <c r="F42" s="303"/>
      <c r="G42" s="303"/>
      <c r="H42" s="303"/>
      <c r="I42" s="303"/>
      <c r="J42" s="303"/>
      <c r="K42" s="303"/>
      <c r="L42" s="303"/>
      <c r="M42" s="303"/>
      <c r="N42" s="303"/>
      <c r="O42" s="303"/>
      <c r="P42" s="303"/>
      <c r="Q42" s="303"/>
      <c r="R42" s="303"/>
      <c r="S42" s="303"/>
      <c r="T42" s="303"/>
      <c r="U42" s="303"/>
      <c r="V42" s="304"/>
      <c r="W42" s="305">
        <f t="shared" si="0"/>
        <v>0</v>
      </c>
      <c r="X42" s="306">
        <f t="shared" si="1"/>
        <v>0</v>
      </c>
      <c r="Y42" s="306">
        <f t="shared" si="2"/>
        <v>0</v>
      </c>
      <c r="Z42" s="307">
        <f t="shared" si="8"/>
        <v>0</v>
      </c>
      <c r="AA42" s="291"/>
      <c r="AB42" s="201">
        <v>32</v>
      </c>
      <c r="AC42" s="63">
        <f t="shared" si="3"/>
        <v>0</v>
      </c>
      <c r="AD42" s="302"/>
      <c r="AE42" s="303"/>
      <c r="AF42" s="303"/>
      <c r="AG42" s="303"/>
      <c r="AH42" s="303"/>
      <c r="AI42" s="303"/>
      <c r="AJ42" s="303"/>
      <c r="AK42" s="303"/>
      <c r="AL42" s="303"/>
      <c r="AM42" s="303"/>
      <c r="AN42" s="303"/>
      <c r="AO42" s="303"/>
      <c r="AP42" s="303"/>
      <c r="AQ42" s="303"/>
      <c r="AR42" s="303"/>
      <c r="AS42" s="303"/>
      <c r="AT42" s="303"/>
      <c r="AU42" s="303"/>
      <c r="AV42" s="303"/>
      <c r="AW42" s="304"/>
      <c r="AX42" s="305">
        <f t="shared" si="4"/>
        <v>0</v>
      </c>
      <c r="AY42" s="306">
        <f t="shared" si="5"/>
        <v>0</v>
      </c>
      <c r="AZ42" s="306">
        <f t="shared" si="6"/>
        <v>0</v>
      </c>
      <c r="BA42" s="307">
        <f t="shared" si="7"/>
        <v>0</v>
      </c>
      <c r="BB42" s="291"/>
    </row>
    <row r="43" spans="1:54" ht="20.25" customHeight="1">
      <c r="A43" s="201">
        <v>33</v>
      </c>
      <c r="B43" s="63">
        <f>STUDENTS!B388</f>
        <v>0</v>
      </c>
      <c r="C43" s="302"/>
      <c r="D43" s="303"/>
      <c r="E43" s="303"/>
      <c r="F43" s="303"/>
      <c r="G43" s="303"/>
      <c r="H43" s="303"/>
      <c r="I43" s="303"/>
      <c r="J43" s="303"/>
      <c r="K43" s="303"/>
      <c r="L43" s="303"/>
      <c r="M43" s="303"/>
      <c r="N43" s="303"/>
      <c r="O43" s="303"/>
      <c r="P43" s="303"/>
      <c r="Q43" s="303"/>
      <c r="R43" s="303"/>
      <c r="S43" s="303"/>
      <c r="T43" s="303"/>
      <c r="U43" s="303"/>
      <c r="V43" s="304"/>
      <c r="W43" s="305">
        <f t="shared" si="0"/>
        <v>0</v>
      </c>
      <c r="X43" s="306">
        <f t="shared" si="1"/>
        <v>0</v>
      </c>
      <c r="Y43" s="306">
        <f t="shared" si="2"/>
        <v>0</v>
      </c>
      <c r="Z43" s="307">
        <f t="shared" si="8"/>
        <v>0</v>
      </c>
      <c r="AA43" s="291"/>
      <c r="AB43" s="201">
        <v>33</v>
      </c>
      <c r="AC43" s="63">
        <f t="shared" si="3"/>
        <v>0</v>
      </c>
      <c r="AD43" s="302"/>
      <c r="AE43" s="303"/>
      <c r="AF43" s="303"/>
      <c r="AG43" s="303"/>
      <c r="AH43" s="303"/>
      <c r="AI43" s="303"/>
      <c r="AJ43" s="303"/>
      <c r="AK43" s="303"/>
      <c r="AL43" s="303"/>
      <c r="AM43" s="303"/>
      <c r="AN43" s="303"/>
      <c r="AO43" s="303"/>
      <c r="AP43" s="303"/>
      <c r="AQ43" s="303"/>
      <c r="AR43" s="303"/>
      <c r="AS43" s="303"/>
      <c r="AT43" s="303"/>
      <c r="AU43" s="303"/>
      <c r="AV43" s="303"/>
      <c r="AW43" s="304"/>
      <c r="AX43" s="305">
        <f t="shared" si="4"/>
        <v>0</v>
      </c>
      <c r="AY43" s="306">
        <f t="shared" si="5"/>
        <v>0</v>
      </c>
      <c r="AZ43" s="306">
        <f t="shared" si="6"/>
        <v>0</v>
      </c>
      <c r="BA43" s="307">
        <f t="shared" si="7"/>
        <v>0</v>
      </c>
      <c r="BB43" s="291"/>
    </row>
    <row r="44" spans="1:54" ht="20.25" customHeight="1">
      <c r="A44" s="201">
        <v>34</v>
      </c>
      <c r="B44" s="63">
        <f>STUDENTS!B400</f>
        <v>0</v>
      </c>
      <c r="C44" s="302"/>
      <c r="D44" s="303"/>
      <c r="E44" s="303"/>
      <c r="F44" s="303"/>
      <c r="G44" s="303"/>
      <c r="H44" s="303"/>
      <c r="I44" s="303"/>
      <c r="J44" s="303"/>
      <c r="K44" s="303"/>
      <c r="L44" s="303"/>
      <c r="M44" s="303"/>
      <c r="N44" s="303"/>
      <c r="O44" s="303"/>
      <c r="P44" s="303"/>
      <c r="Q44" s="303"/>
      <c r="R44" s="303"/>
      <c r="S44" s="303"/>
      <c r="T44" s="303"/>
      <c r="U44" s="303"/>
      <c r="V44" s="304"/>
      <c r="W44" s="305">
        <f t="shared" si="0"/>
        <v>0</v>
      </c>
      <c r="X44" s="306">
        <f t="shared" si="1"/>
        <v>0</v>
      </c>
      <c r="Y44" s="306">
        <f t="shared" si="2"/>
        <v>0</v>
      </c>
      <c r="Z44" s="307">
        <f t="shared" si="8"/>
        <v>0</v>
      </c>
      <c r="AA44" s="291"/>
      <c r="AB44" s="201">
        <v>34</v>
      </c>
      <c r="AC44" s="63">
        <f t="shared" si="3"/>
        <v>0</v>
      </c>
      <c r="AD44" s="302"/>
      <c r="AE44" s="303"/>
      <c r="AF44" s="303"/>
      <c r="AG44" s="303"/>
      <c r="AH44" s="303"/>
      <c r="AI44" s="303"/>
      <c r="AJ44" s="303"/>
      <c r="AK44" s="303"/>
      <c r="AL44" s="303"/>
      <c r="AM44" s="303"/>
      <c r="AN44" s="303"/>
      <c r="AO44" s="303"/>
      <c r="AP44" s="303"/>
      <c r="AQ44" s="303"/>
      <c r="AR44" s="303"/>
      <c r="AS44" s="303"/>
      <c r="AT44" s="303"/>
      <c r="AU44" s="303"/>
      <c r="AV44" s="303"/>
      <c r="AW44" s="304"/>
      <c r="AX44" s="305">
        <f t="shared" si="4"/>
        <v>0</v>
      </c>
      <c r="AY44" s="306">
        <f t="shared" si="5"/>
        <v>0</v>
      </c>
      <c r="AZ44" s="306">
        <f t="shared" si="6"/>
        <v>0</v>
      </c>
      <c r="BA44" s="307">
        <f t="shared" si="7"/>
        <v>0</v>
      </c>
      <c r="BB44" s="291"/>
    </row>
    <row r="45" spans="1:54" ht="20.25" customHeight="1">
      <c r="A45" s="201">
        <v>35</v>
      </c>
      <c r="B45" s="64">
        <f>STUDENTS!B412</f>
        <v>0</v>
      </c>
      <c r="C45" s="308"/>
      <c r="D45" s="309"/>
      <c r="E45" s="309"/>
      <c r="F45" s="309"/>
      <c r="G45" s="309"/>
      <c r="H45" s="309"/>
      <c r="I45" s="309"/>
      <c r="J45" s="309"/>
      <c r="K45" s="309"/>
      <c r="L45" s="309"/>
      <c r="M45" s="309"/>
      <c r="N45" s="309"/>
      <c r="O45" s="309"/>
      <c r="P45" s="309"/>
      <c r="Q45" s="309"/>
      <c r="R45" s="309"/>
      <c r="S45" s="309"/>
      <c r="T45" s="309"/>
      <c r="U45" s="309"/>
      <c r="V45" s="310"/>
      <c r="W45" s="311">
        <f t="shared" si="0"/>
        <v>0</v>
      </c>
      <c r="X45" s="312">
        <f t="shared" si="1"/>
        <v>0</v>
      </c>
      <c r="Y45" s="312">
        <f t="shared" si="2"/>
        <v>0</v>
      </c>
      <c r="Z45" s="313">
        <f t="shared" si="8"/>
        <v>0</v>
      </c>
      <c r="AA45" s="291"/>
      <c r="AB45" s="201">
        <v>35</v>
      </c>
      <c r="AC45" s="64">
        <f t="shared" si="3"/>
        <v>0</v>
      </c>
      <c r="AD45" s="308"/>
      <c r="AE45" s="309"/>
      <c r="AF45" s="309"/>
      <c r="AG45" s="309"/>
      <c r="AH45" s="309"/>
      <c r="AI45" s="309"/>
      <c r="AJ45" s="309"/>
      <c r="AK45" s="309"/>
      <c r="AL45" s="309"/>
      <c r="AM45" s="309"/>
      <c r="AN45" s="309"/>
      <c r="AO45" s="309"/>
      <c r="AP45" s="309"/>
      <c r="AQ45" s="309"/>
      <c r="AR45" s="309"/>
      <c r="AS45" s="309"/>
      <c r="AT45" s="309"/>
      <c r="AU45" s="309"/>
      <c r="AV45" s="309"/>
      <c r="AW45" s="310"/>
      <c r="AX45" s="311">
        <f t="shared" si="4"/>
        <v>0</v>
      </c>
      <c r="AY45" s="312">
        <f t="shared" si="5"/>
        <v>0</v>
      </c>
      <c r="AZ45" s="312">
        <f t="shared" si="6"/>
        <v>0</v>
      </c>
      <c r="BA45" s="313">
        <f t="shared" si="7"/>
        <v>0</v>
      </c>
      <c r="BB45" s="291"/>
    </row>
    <row r="46" spans="1:54">
      <c r="A46" s="314"/>
      <c r="B46" s="292"/>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314"/>
      <c r="AC46" s="292"/>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row>
    <row r="47" spans="1:54" ht="18">
      <c r="A47" s="67" t="s">
        <v>178</v>
      </c>
      <c r="B47" s="375" t="s">
        <v>81</v>
      </c>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43"/>
      <c r="AB47" s="67" t="s">
        <v>178</v>
      </c>
      <c r="AC47" s="375" t="s">
        <v>81</v>
      </c>
      <c r="AD47" s="375"/>
      <c r="AE47" s="375"/>
      <c r="AF47" s="375"/>
      <c r="AG47" s="375"/>
      <c r="AH47" s="375"/>
      <c r="AI47" s="375"/>
      <c r="AJ47" s="375"/>
      <c r="AK47" s="375"/>
      <c r="AL47" s="375"/>
      <c r="AM47" s="375"/>
      <c r="AN47" s="375"/>
      <c r="AO47" s="375"/>
      <c r="AP47" s="375"/>
      <c r="AQ47" s="375"/>
      <c r="AR47" s="375"/>
      <c r="AS47" s="375"/>
      <c r="AT47" s="375"/>
      <c r="AU47" s="375"/>
      <c r="AV47" s="375"/>
      <c r="AW47" s="375"/>
      <c r="AX47" s="375"/>
      <c r="AY47" s="375"/>
      <c r="AZ47" s="375"/>
      <c r="BA47" s="375"/>
      <c r="BB47" s="291"/>
    </row>
    <row r="48" spans="1:54" ht="23.25">
      <c r="A48" s="51"/>
      <c r="B48" s="376" t="s">
        <v>82</v>
      </c>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43"/>
      <c r="AB48" s="51"/>
      <c r="AC48" s="376" t="s">
        <v>82</v>
      </c>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291"/>
    </row>
    <row r="49" spans="1:54" s="290" customFormat="1" ht="20.25" customHeight="1">
      <c r="A49" s="51"/>
      <c r="B49" s="200" t="str">
        <f>CONCATENATE("ધોરણ - ",SCHOOL!$D$2)</f>
        <v>ધોરણ - 6</v>
      </c>
      <c r="C49" s="387" t="s">
        <v>103</v>
      </c>
      <c r="D49" s="387"/>
      <c r="E49" s="387"/>
      <c r="F49" s="387"/>
      <c r="G49" s="387"/>
      <c r="H49" s="387"/>
      <c r="I49" s="387"/>
      <c r="J49" s="387"/>
      <c r="K49" s="387" t="s">
        <v>84</v>
      </c>
      <c r="L49" s="387"/>
      <c r="M49" s="387"/>
      <c r="N49" s="387"/>
      <c r="O49" s="387"/>
      <c r="P49" s="387"/>
      <c r="Q49" s="387"/>
      <c r="R49" s="387" t="s">
        <v>85</v>
      </c>
      <c r="S49" s="387"/>
      <c r="T49" s="387"/>
      <c r="U49" s="387"/>
      <c r="V49" s="387"/>
      <c r="W49" s="387"/>
      <c r="X49" s="387"/>
      <c r="Y49" s="387">
        <f>COUNTA(C52:V52)</f>
        <v>15</v>
      </c>
      <c r="Z49" s="387"/>
      <c r="AA49" s="65"/>
      <c r="AB49" s="51"/>
      <c r="AC49" s="200" t="str">
        <f>CONCATENATE("ધોરણ - ",SCHOOL!$D$2)</f>
        <v>ધોરણ - 6</v>
      </c>
      <c r="AD49" s="387" t="str">
        <f>C49</f>
        <v xml:space="preserve"> વિષય-ગણિત  </v>
      </c>
      <c r="AE49" s="387"/>
      <c r="AF49" s="387"/>
      <c r="AG49" s="387"/>
      <c r="AH49" s="387"/>
      <c r="AI49" s="387"/>
      <c r="AJ49" s="387"/>
      <c r="AK49" s="387"/>
      <c r="AL49" s="387" t="s">
        <v>102</v>
      </c>
      <c r="AM49" s="387"/>
      <c r="AN49" s="387"/>
      <c r="AO49" s="387"/>
      <c r="AP49" s="387"/>
      <c r="AQ49" s="387"/>
      <c r="AR49" s="387"/>
      <c r="AS49" s="387" t="s">
        <v>85</v>
      </c>
      <c r="AT49" s="387"/>
      <c r="AU49" s="387"/>
      <c r="AV49" s="387"/>
      <c r="AW49" s="387"/>
      <c r="AX49" s="387"/>
      <c r="AY49" s="387"/>
      <c r="AZ49" s="387">
        <f>COUNTA(AD52:AW52)</f>
        <v>15</v>
      </c>
      <c r="BA49" s="387"/>
      <c r="BB49" s="292"/>
    </row>
    <row r="50" spans="1:54" ht="18.75" customHeight="1">
      <c r="A50" s="384"/>
      <c r="B50" s="378" t="s">
        <v>86</v>
      </c>
      <c r="C50" s="379" t="s">
        <v>87</v>
      </c>
      <c r="D50" s="380"/>
      <c r="E50" s="380"/>
      <c r="F50" s="380"/>
      <c r="G50" s="380"/>
      <c r="H50" s="380"/>
      <c r="I50" s="380"/>
      <c r="J50" s="380"/>
      <c r="K50" s="380"/>
      <c r="L50" s="380"/>
      <c r="M50" s="380"/>
      <c r="N50" s="380"/>
      <c r="O50" s="380"/>
      <c r="P50" s="380"/>
      <c r="Q50" s="380"/>
      <c r="R50" s="380"/>
      <c r="S50" s="380"/>
      <c r="T50" s="380"/>
      <c r="U50" s="380"/>
      <c r="V50" s="381"/>
      <c r="W50" s="365" t="s">
        <v>88</v>
      </c>
      <c r="X50" s="366"/>
      <c r="Y50" s="367"/>
      <c r="Z50" s="371" t="s">
        <v>90</v>
      </c>
      <c r="AA50" s="291"/>
      <c r="AB50" s="384"/>
      <c r="AC50" s="378" t="s">
        <v>86</v>
      </c>
      <c r="AD50" s="379" t="s">
        <v>87</v>
      </c>
      <c r="AE50" s="380"/>
      <c r="AF50" s="380"/>
      <c r="AG50" s="380"/>
      <c r="AH50" s="380"/>
      <c r="AI50" s="380"/>
      <c r="AJ50" s="380"/>
      <c r="AK50" s="380"/>
      <c r="AL50" s="380"/>
      <c r="AM50" s="380"/>
      <c r="AN50" s="380"/>
      <c r="AO50" s="380"/>
      <c r="AP50" s="380"/>
      <c r="AQ50" s="380"/>
      <c r="AR50" s="380"/>
      <c r="AS50" s="380"/>
      <c r="AT50" s="380"/>
      <c r="AU50" s="380"/>
      <c r="AV50" s="380"/>
      <c r="AW50" s="381"/>
      <c r="AX50" s="365" t="s">
        <v>88</v>
      </c>
      <c r="AY50" s="366"/>
      <c r="AZ50" s="367"/>
      <c r="BA50" s="371" t="s">
        <v>90</v>
      </c>
      <c r="BB50" s="291"/>
    </row>
    <row r="51" spans="1:54" ht="15" customHeight="1">
      <c r="A51" s="385"/>
      <c r="B51" s="378"/>
      <c r="C51" s="45">
        <v>1</v>
      </c>
      <c r="D51" s="46">
        <v>2</v>
      </c>
      <c r="E51" s="46">
        <v>3</v>
      </c>
      <c r="F51" s="46">
        <v>4</v>
      </c>
      <c r="G51" s="46">
        <v>5</v>
      </c>
      <c r="H51" s="46">
        <v>6</v>
      </c>
      <c r="I51" s="46">
        <v>7</v>
      </c>
      <c r="J51" s="46">
        <v>8</v>
      </c>
      <c r="K51" s="46">
        <v>9</v>
      </c>
      <c r="L51" s="46">
        <v>10</v>
      </c>
      <c r="M51" s="46">
        <v>11</v>
      </c>
      <c r="N51" s="46">
        <v>12</v>
      </c>
      <c r="O51" s="46">
        <v>13</v>
      </c>
      <c r="P51" s="46">
        <v>14</v>
      </c>
      <c r="Q51" s="46">
        <v>15</v>
      </c>
      <c r="R51" s="46">
        <v>16</v>
      </c>
      <c r="S51" s="46">
        <v>17</v>
      </c>
      <c r="T51" s="46">
        <v>18</v>
      </c>
      <c r="U51" s="46">
        <v>19</v>
      </c>
      <c r="V51" s="47">
        <v>20</v>
      </c>
      <c r="W51" s="368"/>
      <c r="X51" s="369"/>
      <c r="Y51" s="370"/>
      <c r="Z51" s="382"/>
      <c r="AA51" s="291"/>
      <c r="AB51" s="385"/>
      <c r="AC51" s="378"/>
      <c r="AD51" s="45">
        <v>1</v>
      </c>
      <c r="AE51" s="46">
        <v>2</v>
      </c>
      <c r="AF51" s="46">
        <v>3</v>
      </c>
      <c r="AG51" s="46">
        <v>4</v>
      </c>
      <c r="AH51" s="46">
        <v>5</v>
      </c>
      <c r="AI51" s="46">
        <v>6</v>
      </c>
      <c r="AJ51" s="46">
        <v>7</v>
      </c>
      <c r="AK51" s="46">
        <v>8</v>
      </c>
      <c r="AL51" s="46">
        <v>9</v>
      </c>
      <c r="AM51" s="46">
        <v>10</v>
      </c>
      <c r="AN51" s="46">
        <v>11</v>
      </c>
      <c r="AO51" s="46">
        <v>12</v>
      </c>
      <c r="AP51" s="46">
        <v>13</v>
      </c>
      <c r="AQ51" s="46">
        <v>14</v>
      </c>
      <c r="AR51" s="46">
        <v>15</v>
      </c>
      <c r="AS51" s="46">
        <v>16</v>
      </c>
      <c r="AT51" s="46">
        <v>17</v>
      </c>
      <c r="AU51" s="46">
        <v>18</v>
      </c>
      <c r="AV51" s="46">
        <v>19</v>
      </c>
      <c r="AW51" s="47">
        <v>20</v>
      </c>
      <c r="AX51" s="368"/>
      <c r="AY51" s="369"/>
      <c r="AZ51" s="370"/>
      <c r="BA51" s="382"/>
      <c r="BB51" s="291"/>
    </row>
    <row r="52" spans="1:54" ht="45" customHeight="1">
      <c r="A52" s="386"/>
      <c r="B52" s="378"/>
      <c r="C52" s="293" t="s">
        <v>80</v>
      </c>
      <c r="D52" s="294" t="s">
        <v>279</v>
      </c>
      <c r="E52" s="294" t="s">
        <v>280</v>
      </c>
      <c r="F52" s="294" t="s">
        <v>281</v>
      </c>
      <c r="G52" s="294" t="s">
        <v>282</v>
      </c>
      <c r="H52" s="294" t="s">
        <v>283</v>
      </c>
      <c r="I52" s="294" t="s">
        <v>284</v>
      </c>
      <c r="J52" s="294" t="s">
        <v>285</v>
      </c>
      <c r="K52" s="294" t="s">
        <v>286</v>
      </c>
      <c r="L52" s="294" t="s">
        <v>287</v>
      </c>
      <c r="M52" s="294" t="s">
        <v>288</v>
      </c>
      <c r="N52" s="294" t="s">
        <v>289</v>
      </c>
      <c r="O52" s="294" t="s">
        <v>290</v>
      </c>
      <c r="P52" s="294" t="s">
        <v>291</v>
      </c>
      <c r="Q52" s="294" t="s">
        <v>292</v>
      </c>
      <c r="R52" s="294"/>
      <c r="S52" s="294"/>
      <c r="T52" s="294"/>
      <c r="U52" s="294"/>
      <c r="V52" s="295"/>
      <c r="W52" s="48" t="s">
        <v>91</v>
      </c>
      <c r="X52" s="49" t="s">
        <v>92</v>
      </c>
      <c r="Y52" s="50" t="s">
        <v>89</v>
      </c>
      <c r="Z52" s="383"/>
      <c r="AA52" s="291"/>
      <c r="AB52" s="386"/>
      <c r="AC52" s="378"/>
      <c r="AD52" s="293" t="s">
        <v>80</v>
      </c>
      <c r="AE52" s="294" t="s">
        <v>279</v>
      </c>
      <c r="AF52" s="294" t="s">
        <v>280</v>
      </c>
      <c r="AG52" s="294" t="s">
        <v>281</v>
      </c>
      <c r="AH52" s="294" t="s">
        <v>282</v>
      </c>
      <c r="AI52" s="294" t="s">
        <v>283</v>
      </c>
      <c r="AJ52" s="294" t="s">
        <v>284</v>
      </c>
      <c r="AK52" s="294" t="s">
        <v>285</v>
      </c>
      <c r="AL52" s="294" t="s">
        <v>286</v>
      </c>
      <c r="AM52" s="294" t="s">
        <v>287</v>
      </c>
      <c r="AN52" s="294" t="s">
        <v>288</v>
      </c>
      <c r="AO52" s="294" t="s">
        <v>289</v>
      </c>
      <c r="AP52" s="294" t="s">
        <v>290</v>
      </c>
      <c r="AQ52" s="294" t="s">
        <v>291</v>
      </c>
      <c r="AR52" s="294" t="s">
        <v>292</v>
      </c>
      <c r="AS52" s="294"/>
      <c r="AT52" s="294"/>
      <c r="AU52" s="294"/>
      <c r="AV52" s="294"/>
      <c r="AW52" s="295"/>
      <c r="AX52" s="48" t="s">
        <v>91</v>
      </c>
      <c r="AY52" s="49" t="s">
        <v>92</v>
      </c>
      <c r="AZ52" s="50" t="s">
        <v>89</v>
      </c>
      <c r="BA52" s="383"/>
      <c r="BB52" s="291"/>
    </row>
    <row r="53" spans="1:54" ht="20.25" customHeight="1">
      <c r="A53" s="201">
        <v>1</v>
      </c>
      <c r="B53" s="62" t="str">
        <f>B11</f>
        <v>ગોહેલ રાજેશભાઇ ચીથરભાઇ</v>
      </c>
      <c r="C53" s="296" t="s">
        <v>91</v>
      </c>
      <c r="D53" s="297" t="s">
        <v>91</v>
      </c>
      <c r="E53" s="297" t="s">
        <v>91</v>
      </c>
      <c r="F53" s="297" t="s">
        <v>91</v>
      </c>
      <c r="G53" s="297" t="s">
        <v>91</v>
      </c>
      <c r="H53" s="297" t="s">
        <v>91</v>
      </c>
      <c r="I53" s="297" t="s">
        <v>91</v>
      </c>
      <c r="J53" s="297" t="s">
        <v>91</v>
      </c>
      <c r="K53" s="297" t="s">
        <v>92</v>
      </c>
      <c r="L53" s="297" t="s">
        <v>91</v>
      </c>
      <c r="M53" s="297" t="s">
        <v>92</v>
      </c>
      <c r="N53" s="297" t="s">
        <v>91</v>
      </c>
      <c r="O53" s="297" t="s">
        <v>91</v>
      </c>
      <c r="P53" s="297" t="s">
        <v>89</v>
      </c>
      <c r="Q53" s="297" t="s">
        <v>92</v>
      </c>
      <c r="R53" s="297"/>
      <c r="S53" s="297"/>
      <c r="T53" s="297"/>
      <c r="U53" s="297"/>
      <c r="V53" s="298"/>
      <c r="W53" s="299">
        <f>COUNTIF(C53:V53,"√")</f>
        <v>11</v>
      </c>
      <c r="X53" s="300">
        <f>COUNTIF(C53:V53," ?")</f>
        <v>3</v>
      </c>
      <c r="Y53" s="300">
        <f>COUNTIF(C53:V53,"X")</f>
        <v>1</v>
      </c>
      <c r="Z53" s="301">
        <f>ROUND((40/$Y$49)*W53,0)</f>
        <v>29</v>
      </c>
      <c r="AA53" s="291"/>
      <c r="AB53" s="201">
        <v>1</v>
      </c>
      <c r="AC53" s="62" t="str">
        <f>B53</f>
        <v>ગોહેલ રાજેશભાઇ ચીથરભાઇ</v>
      </c>
      <c r="AD53" s="296" t="s">
        <v>91</v>
      </c>
      <c r="AE53" s="297" t="s">
        <v>91</v>
      </c>
      <c r="AF53" s="297" t="s">
        <v>91</v>
      </c>
      <c r="AG53" s="297" t="s">
        <v>91</v>
      </c>
      <c r="AH53" s="297" t="s">
        <v>91</v>
      </c>
      <c r="AI53" s="297" t="s">
        <v>91</v>
      </c>
      <c r="AJ53" s="297" t="s">
        <v>91</v>
      </c>
      <c r="AK53" s="297" t="s">
        <v>91</v>
      </c>
      <c r="AL53" s="297" t="s">
        <v>92</v>
      </c>
      <c r="AM53" s="297" t="s">
        <v>91</v>
      </c>
      <c r="AN53" s="297" t="s">
        <v>92</v>
      </c>
      <c r="AO53" s="297" t="s">
        <v>91</v>
      </c>
      <c r="AP53" s="297" t="s">
        <v>91</v>
      </c>
      <c r="AQ53" s="297" t="s">
        <v>89</v>
      </c>
      <c r="AR53" s="297" t="s">
        <v>92</v>
      </c>
      <c r="AS53" s="297"/>
      <c r="AT53" s="297"/>
      <c r="AU53" s="297"/>
      <c r="AV53" s="297"/>
      <c r="AW53" s="298"/>
      <c r="AX53" s="299">
        <f>COUNTIF(AD53:AW53,"√")</f>
        <v>11</v>
      </c>
      <c r="AY53" s="300">
        <f>COUNTIF(AD53:AW53," ?")</f>
        <v>3</v>
      </c>
      <c r="AZ53" s="300">
        <f>COUNTIF(AD53:AW53,"X")</f>
        <v>1</v>
      </c>
      <c r="BA53" s="301">
        <f>ROUND((40/$AZ$49)*AX53,0)</f>
        <v>29</v>
      </c>
      <c r="BB53" s="291"/>
    </row>
    <row r="54" spans="1:54" ht="20.25" customHeight="1">
      <c r="A54" s="201">
        <v>2</v>
      </c>
      <c r="B54" s="63" t="str">
        <f t="shared" ref="B54:B87" si="9">B12</f>
        <v>ખિમસુરીયા સાહિલકુમાર અરજણભાઇ</v>
      </c>
      <c r="C54" s="302" t="s">
        <v>91</v>
      </c>
      <c r="D54" s="303" t="s">
        <v>91</v>
      </c>
      <c r="E54" s="303" t="s">
        <v>91</v>
      </c>
      <c r="F54" s="303" t="s">
        <v>91</v>
      </c>
      <c r="G54" s="303" t="s">
        <v>91</v>
      </c>
      <c r="H54" s="303" t="s">
        <v>91</v>
      </c>
      <c r="I54" s="303" t="s">
        <v>91</v>
      </c>
      <c r="J54" s="303" t="s">
        <v>91</v>
      </c>
      <c r="K54" s="303" t="s">
        <v>92</v>
      </c>
      <c r="L54" s="303" t="s">
        <v>91</v>
      </c>
      <c r="M54" s="303" t="s">
        <v>92</v>
      </c>
      <c r="N54" s="303" t="s">
        <v>91</v>
      </c>
      <c r="O54" s="303" t="s">
        <v>91</v>
      </c>
      <c r="P54" s="303" t="s">
        <v>89</v>
      </c>
      <c r="Q54" s="303" t="s">
        <v>92</v>
      </c>
      <c r="R54" s="303"/>
      <c r="S54" s="303"/>
      <c r="T54" s="303"/>
      <c r="U54" s="303"/>
      <c r="V54" s="304"/>
      <c r="W54" s="305">
        <f t="shared" ref="W54:W87" si="10">COUNTIF(C54:V54,"√")</f>
        <v>11</v>
      </c>
      <c r="X54" s="306">
        <f t="shared" ref="X54:X87" si="11">COUNTIF(C54:V54," ?")</f>
        <v>3</v>
      </c>
      <c r="Y54" s="306">
        <f t="shared" ref="Y54:Y87" si="12">COUNTIF(C54:V54,"X")</f>
        <v>1</v>
      </c>
      <c r="Z54" s="307">
        <f t="shared" ref="Z54:Z87" si="13">ROUND((40/$Y$49)*W54,0)</f>
        <v>29</v>
      </c>
      <c r="AA54" s="291"/>
      <c r="AB54" s="201">
        <v>2</v>
      </c>
      <c r="AC54" s="63" t="str">
        <f t="shared" ref="AC54:AC87" si="14">B54</f>
        <v>ખિમસુરીયા સાહિલકુમાર અરજણભાઇ</v>
      </c>
      <c r="AD54" s="302" t="s">
        <v>91</v>
      </c>
      <c r="AE54" s="303" t="s">
        <v>91</v>
      </c>
      <c r="AF54" s="303" t="s">
        <v>91</v>
      </c>
      <c r="AG54" s="303" t="s">
        <v>91</v>
      </c>
      <c r="AH54" s="303" t="s">
        <v>91</v>
      </c>
      <c r="AI54" s="303" t="s">
        <v>92</v>
      </c>
      <c r="AJ54" s="303" t="s">
        <v>91</v>
      </c>
      <c r="AK54" s="303" t="s">
        <v>91</v>
      </c>
      <c r="AL54" s="303" t="s">
        <v>92</v>
      </c>
      <c r="AM54" s="303" t="s">
        <v>91</v>
      </c>
      <c r="AN54" s="303" t="s">
        <v>92</v>
      </c>
      <c r="AO54" s="303" t="s">
        <v>91</v>
      </c>
      <c r="AP54" s="303" t="s">
        <v>91</v>
      </c>
      <c r="AQ54" s="303" t="s">
        <v>89</v>
      </c>
      <c r="AR54" s="303" t="s">
        <v>92</v>
      </c>
      <c r="AS54" s="303"/>
      <c r="AT54" s="303"/>
      <c r="AU54" s="303"/>
      <c r="AV54" s="303"/>
      <c r="AW54" s="304"/>
      <c r="AX54" s="305">
        <f t="shared" ref="AX54:AX87" si="15">COUNTIF(AD54:AW54,"√")</f>
        <v>10</v>
      </c>
      <c r="AY54" s="306">
        <f t="shared" ref="AY54:AY87" si="16">COUNTIF(AD54:AW54," ?")</f>
        <v>4</v>
      </c>
      <c r="AZ54" s="306">
        <f t="shared" ref="AZ54:AZ87" si="17">COUNTIF(AD54:AW54,"X")</f>
        <v>1</v>
      </c>
      <c r="BA54" s="307">
        <f t="shared" ref="BA54:BA87" si="18">ROUND((40/$AZ$49)*AX54,0)</f>
        <v>27</v>
      </c>
      <c r="BB54" s="291"/>
    </row>
    <row r="55" spans="1:54" ht="20.25" customHeight="1">
      <c r="A55" s="201">
        <v>3</v>
      </c>
      <c r="B55" s="63" t="str">
        <f t="shared" si="9"/>
        <v>ગરણિયા મયુરકુમાર અશોકભાઇ</v>
      </c>
      <c r="C55" s="302" t="s">
        <v>91</v>
      </c>
      <c r="D55" s="303" t="s">
        <v>91</v>
      </c>
      <c r="E55" s="303" t="s">
        <v>91</v>
      </c>
      <c r="F55" s="303" t="s">
        <v>91</v>
      </c>
      <c r="G55" s="303" t="s">
        <v>91</v>
      </c>
      <c r="H55" s="303" t="s">
        <v>91</v>
      </c>
      <c r="I55" s="303" t="s">
        <v>91</v>
      </c>
      <c r="J55" s="303" t="s">
        <v>91</v>
      </c>
      <c r="K55" s="303" t="s">
        <v>92</v>
      </c>
      <c r="L55" s="303" t="s">
        <v>91</v>
      </c>
      <c r="M55" s="303" t="s">
        <v>92</v>
      </c>
      <c r="N55" s="303" t="s">
        <v>91</v>
      </c>
      <c r="O55" s="303" t="s">
        <v>91</v>
      </c>
      <c r="P55" s="303" t="s">
        <v>89</v>
      </c>
      <c r="Q55" s="303" t="s">
        <v>92</v>
      </c>
      <c r="R55" s="303"/>
      <c r="S55" s="303"/>
      <c r="T55" s="303"/>
      <c r="U55" s="303"/>
      <c r="V55" s="304"/>
      <c r="W55" s="305">
        <f t="shared" si="10"/>
        <v>11</v>
      </c>
      <c r="X55" s="306">
        <f t="shared" si="11"/>
        <v>3</v>
      </c>
      <c r="Y55" s="306">
        <f t="shared" si="12"/>
        <v>1</v>
      </c>
      <c r="Z55" s="307">
        <f t="shared" si="13"/>
        <v>29</v>
      </c>
      <c r="AA55" s="291"/>
      <c r="AB55" s="201">
        <v>3</v>
      </c>
      <c r="AC55" s="63" t="str">
        <f t="shared" si="14"/>
        <v>ગરણિયા મયુરકુમાર અશોકભાઇ</v>
      </c>
      <c r="AD55" s="302" t="s">
        <v>91</v>
      </c>
      <c r="AE55" s="303" t="s">
        <v>91</v>
      </c>
      <c r="AF55" s="303" t="s">
        <v>91</v>
      </c>
      <c r="AG55" s="303" t="s">
        <v>91</v>
      </c>
      <c r="AH55" s="303" t="s">
        <v>91</v>
      </c>
      <c r="AI55" s="303" t="s">
        <v>91</v>
      </c>
      <c r="AJ55" s="303" t="s">
        <v>91</v>
      </c>
      <c r="AK55" s="303" t="s">
        <v>91</v>
      </c>
      <c r="AL55" s="303" t="s">
        <v>92</v>
      </c>
      <c r="AM55" s="303" t="s">
        <v>91</v>
      </c>
      <c r="AN55" s="303" t="s">
        <v>92</v>
      </c>
      <c r="AO55" s="303" t="s">
        <v>91</v>
      </c>
      <c r="AP55" s="303" t="s">
        <v>91</v>
      </c>
      <c r="AQ55" s="303" t="s">
        <v>89</v>
      </c>
      <c r="AR55" s="303" t="s">
        <v>92</v>
      </c>
      <c r="AS55" s="303"/>
      <c r="AT55" s="303"/>
      <c r="AU55" s="303"/>
      <c r="AV55" s="303"/>
      <c r="AW55" s="304"/>
      <c r="AX55" s="305">
        <f t="shared" si="15"/>
        <v>11</v>
      </c>
      <c r="AY55" s="306">
        <f t="shared" si="16"/>
        <v>3</v>
      </c>
      <c r="AZ55" s="306">
        <f t="shared" si="17"/>
        <v>1</v>
      </c>
      <c r="BA55" s="307">
        <f t="shared" si="18"/>
        <v>29</v>
      </c>
      <c r="BB55" s="291"/>
    </row>
    <row r="56" spans="1:54" ht="20.25" customHeight="1">
      <c r="A56" s="201">
        <v>4</v>
      </c>
      <c r="B56" s="63" t="str">
        <f t="shared" si="9"/>
        <v>ગરણિયા અલ્પેશકુમાર મેરામભાઇ</v>
      </c>
      <c r="C56" s="302" t="s">
        <v>91</v>
      </c>
      <c r="D56" s="303" t="s">
        <v>91</v>
      </c>
      <c r="E56" s="303" t="s">
        <v>91</v>
      </c>
      <c r="F56" s="303" t="s">
        <v>91</v>
      </c>
      <c r="G56" s="303" t="s">
        <v>91</v>
      </c>
      <c r="H56" s="303" t="s">
        <v>91</v>
      </c>
      <c r="I56" s="303" t="s">
        <v>91</v>
      </c>
      <c r="J56" s="303" t="s">
        <v>91</v>
      </c>
      <c r="K56" s="303" t="s">
        <v>92</v>
      </c>
      <c r="L56" s="303" t="s">
        <v>91</v>
      </c>
      <c r="M56" s="303" t="s">
        <v>92</v>
      </c>
      <c r="N56" s="303" t="s">
        <v>91</v>
      </c>
      <c r="O56" s="303" t="s">
        <v>91</v>
      </c>
      <c r="P56" s="303" t="s">
        <v>89</v>
      </c>
      <c r="Q56" s="303" t="s">
        <v>92</v>
      </c>
      <c r="R56" s="303"/>
      <c r="S56" s="303"/>
      <c r="T56" s="303"/>
      <c r="U56" s="303"/>
      <c r="V56" s="304"/>
      <c r="W56" s="305">
        <f t="shared" si="10"/>
        <v>11</v>
      </c>
      <c r="X56" s="306">
        <f t="shared" si="11"/>
        <v>3</v>
      </c>
      <c r="Y56" s="306">
        <f t="shared" si="12"/>
        <v>1</v>
      </c>
      <c r="Z56" s="307">
        <f t="shared" si="13"/>
        <v>29</v>
      </c>
      <c r="AA56" s="291"/>
      <c r="AB56" s="201">
        <v>4</v>
      </c>
      <c r="AC56" s="63" t="str">
        <f t="shared" si="14"/>
        <v>ગરણિયા અલ્પેશકુમાર મેરામભાઇ</v>
      </c>
      <c r="AD56" s="302" t="s">
        <v>91</v>
      </c>
      <c r="AE56" s="303" t="s">
        <v>91</v>
      </c>
      <c r="AF56" s="303" t="s">
        <v>91</v>
      </c>
      <c r="AG56" s="303" t="s">
        <v>91</v>
      </c>
      <c r="AH56" s="303" t="s">
        <v>91</v>
      </c>
      <c r="AI56" s="303" t="s">
        <v>91</v>
      </c>
      <c r="AJ56" s="303" t="s">
        <v>91</v>
      </c>
      <c r="AK56" s="303" t="s">
        <v>91</v>
      </c>
      <c r="AL56" s="303" t="s">
        <v>92</v>
      </c>
      <c r="AM56" s="303" t="s">
        <v>91</v>
      </c>
      <c r="AN56" s="303" t="s">
        <v>92</v>
      </c>
      <c r="AO56" s="303" t="s">
        <v>91</v>
      </c>
      <c r="AP56" s="303" t="s">
        <v>91</v>
      </c>
      <c r="AQ56" s="303" t="s">
        <v>89</v>
      </c>
      <c r="AR56" s="303" t="s">
        <v>92</v>
      </c>
      <c r="AS56" s="303"/>
      <c r="AT56" s="303"/>
      <c r="AU56" s="303"/>
      <c r="AV56" s="303"/>
      <c r="AW56" s="304"/>
      <c r="AX56" s="305">
        <f t="shared" si="15"/>
        <v>11</v>
      </c>
      <c r="AY56" s="306">
        <f t="shared" si="16"/>
        <v>3</v>
      </c>
      <c r="AZ56" s="306">
        <f t="shared" si="17"/>
        <v>1</v>
      </c>
      <c r="BA56" s="307">
        <f t="shared" si="18"/>
        <v>29</v>
      </c>
      <c r="BB56" s="291"/>
    </row>
    <row r="57" spans="1:54" ht="20.25" customHeight="1">
      <c r="A57" s="201">
        <v>5</v>
      </c>
      <c r="B57" s="63" t="str">
        <f t="shared" si="9"/>
        <v>ગરણિયા મિલન પોપટભાઇ</v>
      </c>
      <c r="C57" s="302" t="s">
        <v>91</v>
      </c>
      <c r="D57" s="303" t="s">
        <v>91</v>
      </c>
      <c r="E57" s="303" t="s">
        <v>91</v>
      </c>
      <c r="F57" s="303" t="s">
        <v>91</v>
      </c>
      <c r="G57" s="303" t="s">
        <v>91</v>
      </c>
      <c r="H57" s="303" t="s">
        <v>91</v>
      </c>
      <c r="I57" s="303" t="s">
        <v>91</v>
      </c>
      <c r="J57" s="303" t="s">
        <v>91</v>
      </c>
      <c r="K57" s="303" t="s">
        <v>92</v>
      </c>
      <c r="L57" s="303" t="s">
        <v>91</v>
      </c>
      <c r="M57" s="303" t="s">
        <v>92</v>
      </c>
      <c r="N57" s="303" t="s">
        <v>91</v>
      </c>
      <c r="O57" s="303" t="s">
        <v>91</v>
      </c>
      <c r="P57" s="303" t="s">
        <v>89</v>
      </c>
      <c r="Q57" s="303" t="s">
        <v>92</v>
      </c>
      <c r="R57" s="303"/>
      <c r="S57" s="303"/>
      <c r="T57" s="303"/>
      <c r="U57" s="303"/>
      <c r="V57" s="304"/>
      <c r="W57" s="305">
        <f t="shared" si="10"/>
        <v>11</v>
      </c>
      <c r="X57" s="306">
        <f t="shared" si="11"/>
        <v>3</v>
      </c>
      <c r="Y57" s="306">
        <f t="shared" si="12"/>
        <v>1</v>
      </c>
      <c r="Z57" s="307">
        <f t="shared" si="13"/>
        <v>29</v>
      </c>
      <c r="AA57" s="291"/>
      <c r="AB57" s="201">
        <v>5</v>
      </c>
      <c r="AC57" s="63" t="str">
        <f t="shared" si="14"/>
        <v>ગરણિયા મિલન પોપટભાઇ</v>
      </c>
      <c r="AD57" s="302" t="s">
        <v>91</v>
      </c>
      <c r="AE57" s="303" t="s">
        <v>91</v>
      </c>
      <c r="AF57" s="303" t="s">
        <v>91</v>
      </c>
      <c r="AG57" s="303" t="s">
        <v>91</v>
      </c>
      <c r="AH57" s="303" t="s">
        <v>91</v>
      </c>
      <c r="AI57" s="303" t="s">
        <v>91</v>
      </c>
      <c r="AJ57" s="303" t="s">
        <v>91</v>
      </c>
      <c r="AK57" s="303" t="s">
        <v>91</v>
      </c>
      <c r="AL57" s="303" t="s">
        <v>92</v>
      </c>
      <c r="AM57" s="303" t="s">
        <v>91</v>
      </c>
      <c r="AN57" s="303" t="s">
        <v>92</v>
      </c>
      <c r="AO57" s="303" t="s">
        <v>91</v>
      </c>
      <c r="AP57" s="303" t="s">
        <v>91</v>
      </c>
      <c r="AQ57" s="303" t="s">
        <v>89</v>
      </c>
      <c r="AR57" s="303" t="s">
        <v>92</v>
      </c>
      <c r="AS57" s="303"/>
      <c r="AT57" s="303"/>
      <c r="AU57" s="303"/>
      <c r="AV57" s="303"/>
      <c r="AW57" s="304"/>
      <c r="AX57" s="305">
        <f t="shared" si="15"/>
        <v>11</v>
      </c>
      <c r="AY57" s="306">
        <f t="shared" si="16"/>
        <v>3</v>
      </c>
      <c r="AZ57" s="306">
        <f t="shared" si="17"/>
        <v>1</v>
      </c>
      <c r="BA57" s="307">
        <f t="shared" si="18"/>
        <v>29</v>
      </c>
      <c r="BB57" s="291"/>
    </row>
    <row r="58" spans="1:54" ht="20.25" customHeight="1">
      <c r="A58" s="201">
        <v>6</v>
      </c>
      <c r="B58" s="63" t="str">
        <f t="shared" si="9"/>
        <v>ગરણિયા મોહિત રાવતભાઇ</v>
      </c>
      <c r="C58" s="302" t="s">
        <v>91</v>
      </c>
      <c r="D58" s="303" t="s">
        <v>91</v>
      </c>
      <c r="E58" s="303" t="s">
        <v>91</v>
      </c>
      <c r="F58" s="303" t="s">
        <v>91</v>
      </c>
      <c r="G58" s="303" t="s">
        <v>91</v>
      </c>
      <c r="H58" s="303" t="s">
        <v>91</v>
      </c>
      <c r="I58" s="303" t="s">
        <v>91</v>
      </c>
      <c r="J58" s="303" t="s">
        <v>91</v>
      </c>
      <c r="K58" s="303" t="s">
        <v>92</v>
      </c>
      <c r="L58" s="303" t="s">
        <v>91</v>
      </c>
      <c r="M58" s="303" t="s">
        <v>92</v>
      </c>
      <c r="N58" s="303" t="s">
        <v>92</v>
      </c>
      <c r="O58" s="303" t="s">
        <v>91</v>
      </c>
      <c r="P58" s="303" t="s">
        <v>89</v>
      </c>
      <c r="Q58" s="303" t="s">
        <v>92</v>
      </c>
      <c r="R58" s="303"/>
      <c r="S58" s="303"/>
      <c r="T58" s="303"/>
      <c r="U58" s="303"/>
      <c r="V58" s="304"/>
      <c r="W58" s="305">
        <f t="shared" si="10"/>
        <v>10</v>
      </c>
      <c r="X58" s="306">
        <f t="shared" si="11"/>
        <v>4</v>
      </c>
      <c r="Y58" s="306">
        <f t="shared" si="12"/>
        <v>1</v>
      </c>
      <c r="Z58" s="307">
        <f t="shared" si="13"/>
        <v>27</v>
      </c>
      <c r="AA58" s="291"/>
      <c r="AB58" s="201">
        <v>6</v>
      </c>
      <c r="AC58" s="63" t="str">
        <f t="shared" si="14"/>
        <v>ગરણિયા મોહિત રાવતભાઇ</v>
      </c>
      <c r="AD58" s="302" t="s">
        <v>91</v>
      </c>
      <c r="AE58" s="303" t="s">
        <v>91</v>
      </c>
      <c r="AF58" s="303" t="s">
        <v>91</v>
      </c>
      <c r="AG58" s="303" t="s">
        <v>91</v>
      </c>
      <c r="AH58" s="303" t="s">
        <v>91</v>
      </c>
      <c r="AI58" s="303" t="s">
        <v>91</v>
      </c>
      <c r="AJ58" s="303" t="s">
        <v>91</v>
      </c>
      <c r="AK58" s="303" t="s">
        <v>91</v>
      </c>
      <c r="AL58" s="303" t="s">
        <v>92</v>
      </c>
      <c r="AM58" s="303" t="s">
        <v>91</v>
      </c>
      <c r="AN58" s="303" t="s">
        <v>92</v>
      </c>
      <c r="AO58" s="303" t="s">
        <v>92</v>
      </c>
      <c r="AP58" s="303" t="s">
        <v>91</v>
      </c>
      <c r="AQ58" s="303" t="s">
        <v>89</v>
      </c>
      <c r="AR58" s="303" t="s">
        <v>92</v>
      </c>
      <c r="AS58" s="303"/>
      <c r="AT58" s="303"/>
      <c r="AU58" s="303"/>
      <c r="AV58" s="303"/>
      <c r="AW58" s="304"/>
      <c r="AX58" s="305">
        <f t="shared" si="15"/>
        <v>10</v>
      </c>
      <c r="AY58" s="306">
        <f t="shared" si="16"/>
        <v>4</v>
      </c>
      <c r="AZ58" s="306">
        <f t="shared" si="17"/>
        <v>1</v>
      </c>
      <c r="BA58" s="307">
        <f t="shared" si="18"/>
        <v>27</v>
      </c>
      <c r="BB58" s="291"/>
    </row>
    <row r="59" spans="1:54" ht="20.25" customHeight="1">
      <c r="A59" s="201">
        <v>7</v>
      </c>
      <c r="B59" s="63" t="str">
        <f t="shared" si="9"/>
        <v>ગરણિયા સુમિત પોપટભાઇ</v>
      </c>
      <c r="C59" s="302" t="s">
        <v>91</v>
      </c>
      <c r="D59" s="303" t="s">
        <v>91</v>
      </c>
      <c r="E59" s="303" t="s">
        <v>91</v>
      </c>
      <c r="F59" s="303" t="s">
        <v>91</v>
      </c>
      <c r="G59" s="303" t="s">
        <v>91</v>
      </c>
      <c r="H59" s="303" t="s">
        <v>91</v>
      </c>
      <c r="I59" s="303" t="s">
        <v>91</v>
      </c>
      <c r="J59" s="303" t="s">
        <v>91</v>
      </c>
      <c r="K59" s="303" t="s">
        <v>92</v>
      </c>
      <c r="L59" s="303" t="s">
        <v>91</v>
      </c>
      <c r="M59" s="303" t="s">
        <v>92</v>
      </c>
      <c r="N59" s="303" t="s">
        <v>89</v>
      </c>
      <c r="O59" s="303" t="s">
        <v>91</v>
      </c>
      <c r="P59" s="303" t="s">
        <v>89</v>
      </c>
      <c r="Q59" s="303" t="s">
        <v>92</v>
      </c>
      <c r="R59" s="303"/>
      <c r="S59" s="303"/>
      <c r="T59" s="303"/>
      <c r="U59" s="303"/>
      <c r="V59" s="304"/>
      <c r="W59" s="305">
        <f t="shared" si="10"/>
        <v>10</v>
      </c>
      <c r="X59" s="306">
        <f t="shared" si="11"/>
        <v>3</v>
      </c>
      <c r="Y59" s="306">
        <f t="shared" si="12"/>
        <v>2</v>
      </c>
      <c r="Z59" s="307">
        <f t="shared" si="13"/>
        <v>27</v>
      </c>
      <c r="AA59" s="291"/>
      <c r="AB59" s="201">
        <v>7</v>
      </c>
      <c r="AC59" s="63" t="str">
        <f t="shared" si="14"/>
        <v>ગરણિયા સુમિત પોપટભાઇ</v>
      </c>
      <c r="AD59" s="302" t="s">
        <v>91</v>
      </c>
      <c r="AE59" s="303" t="s">
        <v>91</v>
      </c>
      <c r="AF59" s="303" t="s">
        <v>91</v>
      </c>
      <c r="AG59" s="303" t="s">
        <v>91</v>
      </c>
      <c r="AH59" s="303" t="s">
        <v>92</v>
      </c>
      <c r="AI59" s="303" t="s">
        <v>91</v>
      </c>
      <c r="AJ59" s="303" t="s">
        <v>91</v>
      </c>
      <c r="AK59" s="303" t="s">
        <v>91</v>
      </c>
      <c r="AL59" s="303" t="s">
        <v>92</v>
      </c>
      <c r="AM59" s="303" t="s">
        <v>91</v>
      </c>
      <c r="AN59" s="303" t="s">
        <v>92</v>
      </c>
      <c r="AO59" s="303" t="s">
        <v>89</v>
      </c>
      <c r="AP59" s="303" t="s">
        <v>91</v>
      </c>
      <c r="AQ59" s="303" t="s">
        <v>89</v>
      </c>
      <c r="AR59" s="303" t="s">
        <v>92</v>
      </c>
      <c r="AS59" s="303"/>
      <c r="AT59" s="303"/>
      <c r="AU59" s="303"/>
      <c r="AV59" s="303"/>
      <c r="AW59" s="304"/>
      <c r="AX59" s="305">
        <f t="shared" si="15"/>
        <v>9</v>
      </c>
      <c r="AY59" s="306">
        <f t="shared" si="16"/>
        <v>4</v>
      </c>
      <c r="AZ59" s="306">
        <f t="shared" si="17"/>
        <v>2</v>
      </c>
      <c r="BA59" s="307">
        <f t="shared" si="18"/>
        <v>24</v>
      </c>
      <c r="BB59" s="291"/>
    </row>
    <row r="60" spans="1:54" ht="20.25" customHeight="1">
      <c r="A60" s="201">
        <v>8</v>
      </c>
      <c r="B60" s="63" t="str">
        <f t="shared" si="9"/>
        <v>ગરણિયા રામકુભાઇ સાર્દૂળભાઇ</v>
      </c>
      <c r="C60" s="302" t="s">
        <v>91</v>
      </c>
      <c r="D60" s="303" t="s">
        <v>91</v>
      </c>
      <c r="E60" s="303" t="s">
        <v>91</v>
      </c>
      <c r="F60" s="303" t="s">
        <v>91</v>
      </c>
      <c r="G60" s="303" t="s">
        <v>91</v>
      </c>
      <c r="H60" s="303" t="s">
        <v>91</v>
      </c>
      <c r="I60" s="303" t="s">
        <v>91</v>
      </c>
      <c r="J60" s="303" t="s">
        <v>91</v>
      </c>
      <c r="K60" s="303" t="s">
        <v>92</v>
      </c>
      <c r="L60" s="303" t="s">
        <v>91</v>
      </c>
      <c r="M60" s="303" t="s">
        <v>92</v>
      </c>
      <c r="N60" s="303" t="s">
        <v>91</v>
      </c>
      <c r="O60" s="303" t="s">
        <v>91</v>
      </c>
      <c r="P60" s="303" t="s">
        <v>89</v>
      </c>
      <c r="Q60" s="303" t="s">
        <v>92</v>
      </c>
      <c r="R60" s="303"/>
      <c r="S60" s="303"/>
      <c r="T60" s="303"/>
      <c r="U60" s="303"/>
      <c r="V60" s="304"/>
      <c r="W60" s="305">
        <f t="shared" si="10"/>
        <v>11</v>
      </c>
      <c r="X60" s="306">
        <f t="shared" si="11"/>
        <v>3</v>
      </c>
      <c r="Y60" s="306">
        <f t="shared" si="12"/>
        <v>1</v>
      </c>
      <c r="Z60" s="307">
        <f t="shared" si="13"/>
        <v>29</v>
      </c>
      <c r="AA60" s="291"/>
      <c r="AB60" s="201">
        <v>8</v>
      </c>
      <c r="AC60" s="63" t="str">
        <f t="shared" si="14"/>
        <v>ગરણિયા રામકુભાઇ સાર્દૂળભાઇ</v>
      </c>
      <c r="AD60" s="302" t="s">
        <v>91</v>
      </c>
      <c r="AE60" s="303" t="s">
        <v>91</v>
      </c>
      <c r="AF60" s="303" t="s">
        <v>91</v>
      </c>
      <c r="AG60" s="303" t="s">
        <v>91</v>
      </c>
      <c r="AH60" s="303" t="s">
        <v>91</v>
      </c>
      <c r="AI60" s="303" t="s">
        <v>91</v>
      </c>
      <c r="AJ60" s="303" t="s">
        <v>91</v>
      </c>
      <c r="AK60" s="303" t="s">
        <v>91</v>
      </c>
      <c r="AL60" s="303" t="s">
        <v>92</v>
      </c>
      <c r="AM60" s="303" t="s">
        <v>91</v>
      </c>
      <c r="AN60" s="303" t="s">
        <v>92</v>
      </c>
      <c r="AO60" s="303" t="s">
        <v>91</v>
      </c>
      <c r="AP60" s="303" t="s">
        <v>91</v>
      </c>
      <c r="AQ60" s="303" t="s">
        <v>89</v>
      </c>
      <c r="AR60" s="303" t="s">
        <v>92</v>
      </c>
      <c r="AS60" s="303"/>
      <c r="AT60" s="303"/>
      <c r="AU60" s="303"/>
      <c r="AV60" s="303"/>
      <c r="AW60" s="304"/>
      <c r="AX60" s="305">
        <f t="shared" si="15"/>
        <v>11</v>
      </c>
      <c r="AY60" s="306">
        <f t="shared" si="16"/>
        <v>3</v>
      </c>
      <c r="AZ60" s="306">
        <f t="shared" si="17"/>
        <v>1</v>
      </c>
      <c r="BA60" s="307">
        <f t="shared" si="18"/>
        <v>29</v>
      </c>
      <c r="BB60" s="291"/>
    </row>
    <row r="61" spans="1:54" ht="20.25" customHeight="1">
      <c r="A61" s="201">
        <v>9</v>
      </c>
      <c r="B61" s="63" t="str">
        <f t="shared" si="9"/>
        <v>ડેર હિતેષકુમાર પ્રતાપભાઇ</v>
      </c>
      <c r="C61" s="302" t="s">
        <v>91</v>
      </c>
      <c r="D61" s="303" t="s">
        <v>91</v>
      </c>
      <c r="E61" s="303" t="s">
        <v>91</v>
      </c>
      <c r="F61" s="303" t="s">
        <v>91</v>
      </c>
      <c r="G61" s="303" t="s">
        <v>91</v>
      </c>
      <c r="H61" s="303" t="s">
        <v>91</v>
      </c>
      <c r="I61" s="303" t="s">
        <v>91</v>
      </c>
      <c r="J61" s="303" t="s">
        <v>91</v>
      </c>
      <c r="K61" s="303" t="s">
        <v>92</v>
      </c>
      <c r="L61" s="303" t="s">
        <v>91</v>
      </c>
      <c r="M61" s="303" t="s">
        <v>92</v>
      </c>
      <c r="N61" s="303" t="s">
        <v>91</v>
      </c>
      <c r="O61" s="303" t="s">
        <v>91</v>
      </c>
      <c r="P61" s="303" t="s">
        <v>89</v>
      </c>
      <c r="Q61" s="303" t="s">
        <v>92</v>
      </c>
      <c r="R61" s="303"/>
      <c r="S61" s="303"/>
      <c r="T61" s="303"/>
      <c r="U61" s="303"/>
      <c r="V61" s="304"/>
      <c r="W61" s="305">
        <f t="shared" si="10"/>
        <v>11</v>
      </c>
      <c r="X61" s="306">
        <f t="shared" si="11"/>
        <v>3</v>
      </c>
      <c r="Y61" s="306">
        <f t="shared" si="12"/>
        <v>1</v>
      </c>
      <c r="Z61" s="307">
        <f t="shared" si="13"/>
        <v>29</v>
      </c>
      <c r="AA61" s="291"/>
      <c r="AB61" s="201">
        <v>9</v>
      </c>
      <c r="AC61" s="63" t="str">
        <f t="shared" si="14"/>
        <v>ડેર હિતેષકુમાર પ્રતાપભાઇ</v>
      </c>
      <c r="AD61" s="302" t="s">
        <v>91</v>
      </c>
      <c r="AE61" s="303" t="s">
        <v>91</v>
      </c>
      <c r="AF61" s="303" t="s">
        <v>91</v>
      </c>
      <c r="AG61" s="303" t="s">
        <v>91</v>
      </c>
      <c r="AH61" s="303" t="s">
        <v>91</v>
      </c>
      <c r="AI61" s="303" t="s">
        <v>91</v>
      </c>
      <c r="AJ61" s="303" t="s">
        <v>91</v>
      </c>
      <c r="AK61" s="303" t="s">
        <v>91</v>
      </c>
      <c r="AL61" s="303" t="s">
        <v>92</v>
      </c>
      <c r="AM61" s="303" t="s">
        <v>91</v>
      </c>
      <c r="AN61" s="303" t="s">
        <v>92</v>
      </c>
      <c r="AO61" s="303" t="s">
        <v>91</v>
      </c>
      <c r="AP61" s="303" t="s">
        <v>91</v>
      </c>
      <c r="AQ61" s="303" t="s">
        <v>89</v>
      </c>
      <c r="AR61" s="303" t="s">
        <v>92</v>
      </c>
      <c r="AS61" s="303"/>
      <c r="AT61" s="303"/>
      <c r="AU61" s="303"/>
      <c r="AV61" s="303"/>
      <c r="AW61" s="304"/>
      <c r="AX61" s="305">
        <f t="shared" si="15"/>
        <v>11</v>
      </c>
      <c r="AY61" s="306">
        <f t="shared" si="16"/>
        <v>3</v>
      </c>
      <c r="AZ61" s="306">
        <f t="shared" si="17"/>
        <v>1</v>
      </c>
      <c r="BA61" s="307">
        <f t="shared" si="18"/>
        <v>29</v>
      </c>
      <c r="BB61" s="291"/>
    </row>
    <row r="62" spans="1:54" ht="20.25" customHeight="1">
      <c r="A62" s="201">
        <v>10</v>
      </c>
      <c r="B62" s="63" t="str">
        <f t="shared" si="9"/>
        <v>વેકરીયા વિશાલકુમાર દિપકભાઇ</v>
      </c>
      <c r="C62" s="302" t="s">
        <v>91</v>
      </c>
      <c r="D62" s="303" t="s">
        <v>91</v>
      </c>
      <c r="E62" s="303" t="s">
        <v>89</v>
      </c>
      <c r="F62" s="303" t="s">
        <v>91</v>
      </c>
      <c r="G62" s="303" t="s">
        <v>92</v>
      </c>
      <c r="H62" s="303" t="s">
        <v>91</v>
      </c>
      <c r="I62" s="303" t="s">
        <v>91</v>
      </c>
      <c r="J62" s="303" t="s">
        <v>91</v>
      </c>
      <c r="K62" s="303" t="s">
        <v>92</v>
      </c>
      <c r="L62" s="303" t="s">
        <v>91</v>
      </c>
      <c r="M62" s="303" t="s">
        <v>92</v>
      </c>
      <c r="N62" s="303" t="s">
        <v>91</v>
      </c>
      <c r="O62" s="303" t="s">
        <v>91</v>
      </c>
      <c r="P62" s="303" t="s">
        <v>89</v>
      </c>
      <c r="Q62" s="303" t="s">
        <v>92</v>
      </c>
      <c r="R62" s="303"/>
      <c r="S62" s="303"/>
      <c r="T62" s="303"/>
      <c r="U62" s="303"/>
      <c r="V62" s="304"/>
      <c r="W62" s="305">
        <f t="shared" si="10"/>
        <v>9</v>
      </c>
      <c r="X62" s="306">
        <f t="shared" si="11"/>
        <v>4</v>
      </c>
      <c r="Y62" s="306">
        <f t="shared" si="12"/>
        <v>2</v>
      </c>
      <c r="Z62" s="307">
        <f t="shared" si="13"/>
        <v>24</v>
      </c>
      <c r="AA62" s="291"/>
      <c r="AB62" s="201">
        <v>10</v>
      </c>
      <c r="AC62" s="63" t="str">
        <f t="shared" si="14"/>
        <v>વેકરીયા વિશાલકુમાર દિપકભાઇ</v>
      </c>
      <c r="AD62" s="302" t="s">
        <v>91</v>
      </c>
      <c r="AE62" s="303" t="s">
        <v>91</v>
      </c>
      <c r="AF62" s="303" t="s">
        <v>89</v>
      </c>
      <c r="AG62" s="303" t="s">
        <v>89</v>
      </c>
      <c r="AH62" s="303" t="s">
        <v>92</v>
      </c>
      <c r="AI62" s="303" t="s">
        <v>91</v>
      </c>
      <c r="AJ62" s="303" t="s">
        <v>91</v>
      </c>
      <c r="AK62" s="303" t="s">
        <v>91</v>
      </c>
      <c r="AL62" s="303" t="s">
        <v>92</v>
      </c>
      <c r="AM62" s="303" t="s">
        <v>91</v>
      </c>
      <c r="AN62" s="303" t="s">
        <v>92</v>
      </c>
      <c r="AO62" s="303" t="s">
        <v>91</v>
      </c>
      <c r="AP62" s="303" t="s">
        <v>91</v>
      </c>
      <c r="AQ62" s="303" t="s">
        <v>89</v>
      </c>
      <c r="AR62" s="303" t="s">
        <v>92</v>
      </c>
      <c r="AS62" s="303"/>
      <c r="AT62" s="303"/>
      <c r="AU62" s="303"/>
      <c r="AV62" s="303"/>
      <c r="AW62" s="304"/>
      <c r="AX62" s="305">
        <f t="shared" si="15"/>
        <v>8</v>
      </c>
      <c r="AY62" s="306">
        <f t="shared" si="16"/>
        <v>4</v>
      </c>
      <c r="AZ62" s="306">
        <f t="shared" si="17"/>
        <v>3</v>
      </c>
      <c r="BA62" s="307">
        <f t="shared" si="18"/>
        <v>21</v>
      </c>
      <c r="BB62" s="291"/>
    </row>
    <row r="63" spans="1:54" ht="20.25" customHeight="1">
      <c r="A63" s="201">
        <v>11</v>
      </c>
      <c r="B63" s="63" t="str">
        <f t="shared" si="9"/>
        <v>માણસુરીયા મહેન્દ્રભાઇ ભૂપતભાઇ</v>
      </c>
      <c r="C63" s="302" t="s">
        <v>91</v>
      </c>
      <c r="D63" s="303" t="s">
        <v>91</v>
      </c>
      <c r="E63" s="303" t="s">
        <v>91</v>
      </c>
      <c r="F63" s="303" t="s">
        <v>91</v>
      </c>
      <c r="G63" s="303" t="s">
        <v>91</v>
      </c>
      <c r="H63" s="303" t="s">
        <v>91</v>
      </c>
      <c r="I63" s="303" t="s">
        <v>91</v>
      </c>
      <c r="J63" s="303" t="s">
        <v>91</v>
      </c>
      <c r="K63" s="303" t="s">
        <v>92</v>
      </c>
      <c r="L63" s="303" t="s">
        <v>91</v>
      </c>
      <c r="M63" s="303" t="s">
        <v>92</v>
      </c>
      <c r="N63" s="303" t="s">
        <v>91</v>
      </c>
      <c r="O63" s="303" t="s">
        <v>91</v>
      </c>
      <c r="P63" s="303" t="s">
        <v>89</v>
      </c>
      <c r="Q63" s="303" t="s">
        <v>92</v>
      </c>
      <c r="R63" s="303"/>
      <c r="S63" s="303"/>
      <c r="T63" s="303"/>
      <c r="U63" s="303"/>
      <c r="V63" s="304"/>
      <c r="W63" s="305">
        <f t="shared" si="10"/>
        <v>11</v>
      </c>
      <c r="X63" s="306">
        <f t="shared" si="11"/>
        <v>3</v>
      </c>
      <c r="Y63" s="306">
        <f t="shared" si="12"/>
        <v>1</v>
      </c>
      <c r="Z63" s="307">
        <f t="shared" si="13"/>
        <v>29</v>
      </c>
      <c r="AA63" s="291"/>
      <c r="AB63" s="201">
        <v>11</v>
      </c>
      <c r="AC63" s="63" t="str">
        <f t="shared" si="14"/>
        <v>માણસુરીયા મહેન્દ્રભાઇ ભૂપતભાઇ</v>
      </c>
      <c r="AD63" s="302" t="s">
        <v>91</v>
      </c>
      <c r="AE63" s="303" t="s">
        <v>91</v>
      </c>
      <c r="AF63" s="303" t="s">
        <v>91</v>
      </c>
      <c r="AG63" s="303" t="s">
        <v>91</v>
      </c>
      <c r="AH63" s="303" t="s">
        <v>91</v>
      </c>
      <c r="AI63" s="303" t="s">
        <v>91</v>
      </c>
      <c r="AJ63" s="303" t="s">
        <v>91</v>
      </c>
      <c r="AK63" s="303" t="s">
        <v>91</v>
      </c>
      <c r="AL63" s="303" t="s">
        <v>92</v>
      </c>
      <c r="AM63" s="303" t="s">
        <v>91</v>
      </c>
      <c r="AN63" s="303" t="s">
        <v>92</v>
      </c>
      <c r="AO63" s="303" t="s">
        <v>91</v>
      </c>
      <c r="AP63" s="303" t="s">
        <v>91</v>
      </c>
      <c r="AQ63" s="303" t="s">
        <v>89</v>
      </c>
      <c r="AR63" s="303" t="s">
        <v>92</v>
      </c>
      <c r="AS63" s="303"/>
      <c r="AT63" s="303"/>
      <c r="AU63" s="303"/>
      <c r="AV63" s="303"/>
      <c r="AW63" s="304"/>
      <c r="AX63" s="305">
        <f t="shared" si="15"/>
        <v>11</v>
      </c>
      <c r="AY63" s="306">
        <f t="shared" si="16"/>
        <v>3</v>
      </c>
      <c r="AZ63" s="306">
        <f t="shared" si="17"/>
        <v>1</v>
      </c>
      <c r="BA63" s="307">
        <f t="shared" si="18"/>
        <v>29</v>
      </c>
      <c r="BB63" s="291"/>
    </row>
    <row r="64" spans="1:54" ht="20.25" customHeight="1">
      <c r="A64" s="201">
        <v>12</v>
      </c>
      <c r="B64" s="63" t="str">
        <f t="shared" si="9"/>
        <v>પરમાર અજયકુમાર રમેશભાઇ</v>
      </c>
      <c r="C64" s="302" t="s">
        <v>91</v>
      </c>
      <c r="D64" s="303" t="s">
        <v>91</v>
      </c>
      <c r="E64" s="303" t="s">
        <v>91</v>
      </c>
      <c r="F64" s="303" t="s">
        <v>91</v>
      </c>
      <c r="G64" s="303" t="s">
        <v>91</v>
      </c>
      <c r="H64" s="303" t="s">
        <v>91</v>
      </c>
      <c r="I64" s="303" t="s">
        <v>91</v>
      </c>
      <c r="J64" s="303" t="s">
        <v>91</v>
      </c>
      <c r="K64" s="303" t="s">
        <v>92</v>
      </c>
      <c r="L64" s="303" t="s">
        <v>91</v>
      </c>
      <c r="M64" s="303" t="s">
        <v>92</v>
      </c>
      <c r="N64" s="303" t="s">
        <v>91</v>
      </c>
      <c r="O64" s="303" t="s">
        <v>91</v>
      </c>
      <c r="P64" s="303" t="s">
        <v>89</v>
      </c>
      <c r="Q64" s="303" t="s">
        <v>92</v>
      </c>
      <c r="R64" s="303"/>
      <c r="S64" s="303"/>
      <c r="T64" s="303"/>
      <c r="U64" s="303"/>
      <c r="V64" s="304"/>
      <c r="W64" s="305">
        <f t="shared" si="10"/>
        <v>11</v>
      </c>
      <c r="X64" s="306">
        <f t="shared" si="11"/>
        <v>3</v>
      </c>
      <c r="Y64" s="306">
        <f t="shared" si="12"/>
        <v>1</v>
      </c>
      <c r="Z64" s="307">
        <f t="shared" si="13"/>
        <v>29</v>
      </c>
      <c r="AA64" s="291"/>
      <c r="AB64" s="201">
        <v>12</v>
      </c>
      <c r="AC64" s="63" t="str">
        <f t="shared" si="14"/>
        <v>પરમાર અજયકુમાર રમેશભાઇ</v>
      </c>
      <c r="AD64" s="302" t="s">
        <v>91</v>
      </c>
      <c r="AE64" s="303" t="s">
        <v>91</v>
      </c>
      <c r="AF64" s="303" t="s">
        <v>91</v>
      </c>
      <c r="AG64" s="303" t="s">
        <v>91</v>
      </c>
      <c r="AH64" s="303" t="s">
        <v>91</v>
      </c>
      <c r="AI64" s="303" t="s">
        <v>91</v>
      </c>
      <c r="AJ64" s="303" t="s">
        <v>91</v>
      </c>
      <c r="AK64" s="303" t="s">
        <v>91</v>
      </c>
      <c r="AL64" s="303" t="s">
        <v>92</v>
      </c>
      <c r="AM64" s="303" t="s">
        <v>91</v>
      </c>
      <c r="AN64" s="303" t="s">
        <v>92</v>
      </c>
      <c r="AO64" s="303" t="s">
        <v>91</v>
      </c>
      <c r="AP64" s="303" t="s">
        <v>91</v>
      </c>
      <c r="AQ64" s="303" t="s">
        <v>89</v>
      </c>
      <c r="AR64" s="303" t="s">
        <v>92</v>
      </c>
      <c r="AS64" s="303"/>
      <c r="AT64" s="303"/>
      <c r="AU64" s="303"/>
      <c r="AV64" s="303"/>
      <c r="AW64" s="304"/>
      <c r="AX64" s="305">
        <f t="shared" si="15"/>
        <v>11</v>
      </c>
      <c r="AY64" s="306">
        <f t="shared" si="16"/>
        <v>3</v>
      </c>
      <c r="AZ64" s="306">
        <f t="shared" si="17"/>
        <v>1</v>
      </c>
      <c r="BA64" s="307">
        <f t="shared" si="18"/>
        <v>29</v>
      </c>
      <c r="BB64" s="291"/>
    </row>
    <row r="65" spans="1:54" ht="20.25" customHeight="1">
      <c r="A65" s="201">
        <v>13</v>
      </c>
      <c r="B65" s="63" t="str">
        <f t="shared" si="9"/>
        <v>કંડોળીયા અલ્પેશકુમાર ભરતભાઇ</v>
      </c>
      <c r="C65" s="302" t="s">
        <v>92</v>
      </c>
      <c r="D65" s="303" t="s">
        <v>91</v>
      </c>
      <c r="E65" s="303" t="s">
        <v>91</v>
      </c>
      <c r="F65" s="303" t="s">
        <v>91</v>
      </c>
      <c r="G65" s="303" t="s">
        <v>91</v>
      </c>
      <c r="H65" s="303" t="s">
        <v>91</v>
      </c>
      <c r="I65" s="303" t="s">
        <v>91</v>
      </c>
      <c r="J65" s="303" t="s">
        <v>91</v>
      </c>
      <c r="K65" s="303" t="s">
        <v>92</v>
      </c>
      <c r="L65" s="303" t="s">
        <v>91</v>
      </c>
      <c r="M65" s="303" t="s">
        <v>92</v>
      </c>
      <c r="N65" s="303" t="s">
        <v>91</v>
      </c>
      <c r="O65" s="303" t="s">
        <v>91</v>
      </c>
      <c r="P65" s="303" t="s">
        <v>89</v>
      </c>
      <c r="Q65" s="303" t="s">
        <v>92</v>
      </c>
      <c r="R65" s="303"/>
      <c r="S65" s="303"/>
      <c r="T65" s="303"/>
      <c r="U65" s="303"/>
      <c r="V65" s="304"/>
      <c r="W65" s="305">
        <f t="shared" si="10"/>
        <v>10</v>
      </c>
      <c r="X65" s="306">
        <f t="shared" si="11"/>
        <v>4</v>
      </c>
      <c r="Y65" s="306">
        <f t="shared" si="12"/>
        <v>1</v>
      </c>
      <c r="Z65" s="307">
        <f t="shared" si="13"/>
        <v>27</v>
      </c>
      <c r="AA65" s="291"/>
      <c r="AB65" s="201">
        <v>13</v>
      </c>
      <c r="AC65" s="63" t="str">
        <f t="shared" si="14"/>
        <v>કંડોળીયા અલ્પેશકુમાર ભરતભાઇ</v>
      </c>
      <c r="AD65" s="302" t="s">
        <v>92</v>
      </c>
      <c r="AE65" s="303" t="s">
        <v>91</v>
      </c>
      <c r="AF65" s="303" t="s">
        <v>91</v>
      </c>
      <c r="AG65" s="303" t="s">
        <v>91</v>
      </c>
      <c r="AH65" s="303" t="s">
        <v>91</v>
      </c>
      <c r="AI65" s="303" t="s">
        <v>91</v>
      </c>
      <c r="AJ65" s="303" t="s">
        <v>91</v>
      </c>
      <c r="AK65" s="303" t="s">
        <v>91</v>
      </c>
      <c r="AL65" s="303" t="s">
        <v>92</v>
      </c>
      <c r="AM65" s="303" t="s">
        <v>91</v>
      </c>
      <c r="AN65" s="303" t="s">
        <v>92</v>
      </c>
      <c r="AO65" s="303" t="s">
        <v>91</v>
      </c>
      <c r="AP65" s="303" t="s">
        <v>91</v>
      </c>
      <c r="AQ65" s="303" t="s">
        <v>89</v>
      </c>
      <c r="AR65" s="303" t="s">
        <v>92</v>
      </c>
      <c r="AS65" s="303"/>
      <c r="AT65" s="303"/>
      <c r="AU65" s="303"/>
      <c r="AV65" s="303"/>
      <c r="AW65" s="304"/>
      <c r="AX65" s="305">
        <f t="shared" si="15"/>
        <v>10</v>
      </c>
      <c r="AY65" s="306">
        <f t="shared" si="16"/>
        <v>4</v>
      </c>
      <c r="AZ65" s="306">
        <f t="shared" si="17"/>
        <v>1</v>
      </c>
      <c r="BA65" s="307">
        <f t="shared" si="18"/>
        <v>27</v>
      </c>
      <c r="BB65" s="291"/>
    </row>
    <row r="66" spans="1:54" ht="20.25" customHeight="1">
      <c r="A66" s="201">
        <v>14</v>
      </c>
      <c r="B66" s="63" t="str">
        <f t="shared" si="9"/>
        <v>મકવાણા તરંગકુમાર કિશોરભાઇ</v>
      </c>
      <c r="C66" s="302" t="s">
        <v>91</v>
      </c>
      <c r="D66" s="303" t="s">
        <v>91</v>
      </c>
      <c r="E66" s="303" t="s">
        <v>91</v>
      </c>
      <c r="F66" s="303" t="s">
        <v>91</v>
      </c>
      <c r="G66" s="303" t="s">
        <v>91</v>
      </c>
      <c r="H66" s="303" t="s">
        <v>91</v>
      </c>
      <c r="I66" s="303" t="s">
        <v>91</v>
      </c>
      <c r="J66" s="303" t="s">
        <v>91</v>
      </c>
      <c r="K66" s="303" t="s">
        <v>92</v>
      </c>
      <c r="L66" s="303" t="s">
        <v>91</v>
      </c>
      <c r="M66" s="303" t="s">
        <v>92</v>
      </c>
      <c r="N66" s="303" t="s">
        <v>91</v>
      </c>
      <c r="O66" s="303" t="s">
        <v>91</v>
      </c>
      <c r="P66" s="303" t="s">
        <v>89</v>
      </c>
      <c r="Q66" s="303" t="s">
        <v>92</v>
      </c>
      <c r="R66" s="303"/>
      <c r="S66" s="303"/>
      <c r="T66" s="303"/>
      <c r="U66" s="303"/>
      <c r="V66" s="304"/>
      <c r="W66" s="305">
        <f t="shared" si="10"/>
        <v>11</v>
      </c>
      <c r="X66" s="306">
        <f t="shared" si="11"/>
        <v>3</v>
      </c>
      <c r="Y66" s="306">
        <f t="shared" si="12"/>
        <v>1</v>
      </c>
      <c r="Z66" s="307">
        <f t="shared" si="13"/>
        <v>29</v>
      </c>
      <c r="AA66" s="291"/>
      <c r="AB66" s="201">
        <v>14</v>
      </c>
      <c r="AC66" s="63" t="str">
        <f t="shared" si="14"/>
        <v>મકવાણા તરંગકુમાર કિશોરભાઇ</v>
      </c>
      <c r="AD66" s="302" t="s">
        <v>91</v>
      </c>
      <c r="AE66" s="303" t="s">
        <v>91</v>
      </c>
      <c r="AF66" s="303" t="s">
        <v>91</v>
      </c>
      <c r="AG66" s="303" t="s">
        <v>91</v>
      </c>
      <c r="AH66" s="303" t="s">
        <v>91</v>
      </c>
      <c r="AI66" s="303" t="s">
        <v>91</v>
      </c>
      <c r="AJ66" s="303" t="s">
        <v>91</v>
      </c>
      <c r="AK66" s="303" t="s">
        <v>91</v>
      </c>
      <c r="AL66" s="303" t="s">
        <v>92</v>
      </c>
      <c r="AM66" s="303" t="s">
        <v>91</v>
      </c>
      <c r="AN66" s="303" t="s">
        <v>92</v>
      </c>
      <c r="AO66" s="303" t="s">
        <v>91</v>
      </c>
      <c r="AP66" s="303" t="s">
        <v>91</v>
      </c>
      <c r="AQ66" s="303" t="s">
        <v>89</v>
      </c>
      <c r="AR66" s="303" t="s">
        <v>92</v>
      </c>
      <c r="AS66" s="303"/>
      <c r="AT66" s="303"/>
      <c r="AU66" s="303"/>
      <c r="AV66" s="303"/>
      <c r="AW66" s="304"/>
      <c r="AX66" s="305">
        <f t="shared" si="15"/>
        <v>11</v>
      </c>
      <c r="AY66" s="306">
        <f t="shared" si="16"/>
        <v>3</v>
      </c>
      <c r="AZ66" s="306">
        <f t="shared" si="17"/>
        <v>1</v>
      </c>
      <c r="BA66" s="307">
        <f t="shared" si="18"/>
        <v>29</v>
      </c>
      <c r="BB66" s="291"/>
    </row>
    <row r="67" spans="1:54" ht="20.25" customHeight="1">
      <c r="A67" s="201">
        <v>15</v>
      </c>
      <c r="B67" s="63" t="str">
        <f t="shared" si="9"/>
        <v>ઢીમેચા સતીષ હનુભાઇ</v>
      </c>
      <c r="C67" s="302" t="s">
        <v>91</v>
      </c>
      <c r="D67" s="303" t="s">
        <v>91</v>
      </c>
      <c r="E67" s="303" t="s">
        <v>91</v>
      </c>
      <c r="F67" s="303" t="s">
        <v>91</v>
      </c>
      <c r="G67" s="303" t="s">
        <v>91</v>
      </c>
      <c r="H67" s="303" t="s">
        <v>91</v>
      </c>
      <c r="I67" s="303" t="s">
        <v>91</v>
      </c>
      <c r="J67" s="303" t="s">
        <v>91</v>
      </c>
      <c r="K67" s="303" t="s">
        <v>92</v>
      </c>
      <c r="L67" s="303" t="s">
        <v>91</v>
      </c>
      <c r="M67" s="303" t="s">
        <v>92</v>
      </c>
      <c r="N67" s="303" t="s">
        <v>91</v>
      </c>
      <c r="O67" s="303" t="s">
        <v>91</v>
      </c>
      <c r="P67" s="303" t="s">
        <v>89</v>
      </c>
      <c r="Q67" s="303" t="s">
        <v>92</v>
      </c>
      <c r="R67" s="303"/>
      <c r="S67" s="303"/>
      <c r="T67" s="303"/>
      <c r="U67" s="303"/>
      <c r="V67" s="304"/>
      <c r="W67" s="305">
        <f t="shared" si="10"/>
        <v>11</v>
      </c>
      <c r="X67" s="306">
        <f t="shared" si="11"/>
        <v>3</v>
      </c>
      <c r="Y67" s="306">
        <f t="shared" si="12"/>
        <v>1</v>
      </c>
      <c r="Z67" s="307">
        <f t="shared" si="13"/>
        <v>29</v>
      </c>
      <c r="AA67" s="291"/>
      <c r="AB67" s="201">
        <v>15</v>
      </c>
      <c r="AC67" s="63" t="str">
        <f t="shared" si="14"/>
        <v>ઢીમેચા સતીષ હનુભાઇ</v>
      </c>
      <c r="AD67" s="302" t="s">
        <v>91</v>
      </c>
      <c r="AE67" s="303" t="s">
        <v>91</v>
      </c>
      <c r="AF67" s="303" t="s">
        <v>91</v>
      </c>
      <c r="AG67" s="303" t="s">
        <v>91</v>
      </c>
      <c r="AH67" s="303" t="s">
        <v>91</v>
      </c>
      <c r="AI67" s="303" t="s">
        <v>91</v>
      </c>
      <c r="AJ67" s="303" t="s">
        <v>91</v>
      </c>
      <c r="AK67" s="303" t="s">
        <v>91</v>
      </c>
      <c r="AL67" s="303" t="s">
        <v>92</v>
      </c>
      <c r="AM67" s="303" t="s">
        <v>91</v>
      </c>
      <c r="AN67" s="303" t="s">
        <v>92</v>
      </c>
      <c r="AO67" s="303" t="s">
        <v>91</v>
      </c>
      <c r="AP67" s="303" t="s">
        <v>91</v>
      </c>
      <c r="AQ67" s="303" t="s">
        <v>89</v>
      </c>
      <c r="AR67" s="303" t="s">
        <v>92</v>
      </c>
      <c r="AS67" s="303"/>
      <c r="AT67" s="303"/>
      <c r="AU67" s="303"/>
      <c r="AV67" s="303"/>
      <c r="AW67" s="304"/>
      <c r="AX67" s="305">
        <f t="shared" si="15"/>
        <v>11</v>
      </c>
      <c r="AY67" s="306">
        <f t="shared" si="16"/>
        <v>3</v>
      </c>
      <c r="AZ67" s="306">
        <f t="shared" si="17"/>
        <v>1</v>
      </c>
      <c r="BA67" s="307">
        <f t="shared" si="18"/>
        <v>29</v>
      </c>
      <c r="BB67" s="291"/>
    </row>
    <row r="68" spans="1:54" ht="20.25" customHeight="1">
      <c r="A68" s="201">
        <v>16</v>
      </c>
      <c r="B68" s="63" t="str">
        <f t="shared" si="9"/>
        <v>ખુમાણ શિવરાજભાઇ બાબુભાઇ</v>
      </c>
      <c r="C68" s="302" t="s">
        <v>91</v>
      </c>
      <c r="D68" s="303" t="s">
        <v>91</v>
      </c>
      <c r="E68" s="303" t="s">
        <v>91</v>
      </c>
      <c r="F68" s="303" t="s">
        <v>91</v>
      </c>
      <c r="G68" s="303" t="s">
        <v>91</v>
      </c>
      <c r="H68" s="303" t="s">
        <v>91</v>
      </c>
      <c r="I68" s="303" t="s">
        <v>91</v>
      </c>
      <c r="J68" s="303" t="s">
        <v>91</v>
      </c>
      <c r="K68" s="303" t="s">
        <v>92</v>
      </c>
      <c r="L68" s="303" t="s">
        <v>91</v>
      </c>
      <c r="M68" s="303" t="s">
        <v>92</v>
      </c>
      <c r="N68" s="303" t="s">
        <v>91</v>
      </c>
      <c r="O68" s="303" t="s">
        <v>91</v>
      </c>
      <c r="P68" s="303" t="s">
        <v>89</v>
      </c>
      <c r="Q68" s="303" t="s">
        <v>92</v>
      </c>
      <c r="R68" s="303"/>
      <c r="S68" s="303"/>
      <c r="T68" s="303"/>
      <c r="U68" s="303"/>
      <c r="V68" s="304"/>
      <c r="W68" s="305">
        <f t="shared" si="10"/>
        <v>11</v>
      </c>
      <c r="X68" s="306">
        <f t="shared" si="11"/>
        <v>3</v>
      </c>
      <c r="Y68" s="306">
        <f t="shared" si="12"/>
        <v>1</v>
      </c>
      <c r="Z68" s="307">
        <f t="shared" si="13"/>
        <v>29</v>
      </c>
      <c r="AA68" s="291"/>
      <c r="AB68" s="201">
        <v>16</v>
      </c>
      <c r="AC68" s="63" t="str">
        <f t="shared" si="14"/>
        <v>ખુમાણ શિવરાજભાઇ બાબુભાઇ</v>
      </c>
      <c r="AD68" s="302" t="s">
        <v>91</v>
      </c>
      <c r="AE68" s="303" t="s">
        <v>91</v>
      </c>
      <c r="AF68" s="303" t="s">
        <v>91</v>
      </c>
      <c r="AG68" s="303" t="s">
        <v>91</v>
      </c>
      <c r="AH68" s="303" t="s">
        <v>91</v>
      </c>
      <c r="AI68" s="303" t="s">
        <v>91</v>
      </c>
      <c r="AJ68" s="303" t="s">
        <v>91</v>
      </c>
      <c r="AK68" s="303" t="s">
        <v>91</v>
      </c>
      <c r="AL68" s="303" t="s">
        <v>92</v>
      </c>
      <c r="AM68" s="303" t="s">
        <v>91</v>
      </c>
      <c r="AN68" s="303" t="s">
        <v>92</v>
      </c>
      <c r="AO68" s="303" t="s">
        <v>91</v>
      </c>
      <c r="AP68" s="303" t="s">
        <v>91</v>
      </c>
      <c r="AQ68" s="303" t="s">
        <v>89</v>
      </c>
      <c r="AR68" s="303" t="s">
        <v>92</v>
      </c>
      <c r="AS68" s="303"/>
      <c r="AT68" s="303"/>
      <c r="AU68" s="303"/>
      <c r="AV68" s="303"/>
      <c r="AW68" s="304"/>
      <c r="AX68" s="305">
        <f t="shared" si="15"/>
        <v>11</v>
      </c>
      <c r="AY68" s="306">
        <f t="shared" si="16"/>
        <v>3</v>
      </c>
      <c r="AZ68" s="306">
        <f t="shared" si="17"/>
        <v>1</v>
      </c>
      <c r="BA68" s="307">
        <f t="shared" si="18"/>
        <v>29</v>
      </c>
      <c r="BB68" s="291"/>
    </row>
    <row r="69" spans="1:54" ht="20.25" customHeight="1">
      <c r="A69" s="201">
        <v>17</v>
      </c>
      <c r="B69" s="63" t="str">
        <f t="shared" si="9"/>
        <v>માથાસુરીયા દિનેશભાઇ અમરાભાઇ</v>
      </c>
      <c r="C69" s="302" t="s">
        <v>91</v>
      </c>
      <c r="D69" s="303" t="s">
        <v>91</v>
      </c>
      <c r="E69" s="303" t="s">
        <v>91</v>
      </c>
      <c r="F69" s="303" t="s">
        <v>91</v>
      </c>
      <c r="G69" s="303" t="s">
        <v>91</v>
      </c>
      <c r="H69" s="303" t="s">
        <v>91</v>
      </c>
      <c r="I69" s="303" t="s">
        <v>91</v>
      </c>
      <c r="J69" s="303" t="s">
        <v>91</v>
      </c>
      <c r="K69" s="303" t="s">
        <v>92</v>
      </c>
      <c r="L69" s="303" t="s">
        <v>91</v>
      </c>
      <c r="M69" s="303" t="s">
        <v>92</v>
      </c>
      <c r="N69" s="303" t="s">
        <v>91</v>
      </c>
      <c r="O69" s="303" t="s">
        <v>91</v>
      </c>
      <c r="P69" s="303" t="s">
        <v>89</v>
      </c>
      <c r="Q69" s="303" t="s">
        <v>92</v>
      </c>
      <c r="R69" s="303"/>
      <c r="S69" s="303"/>
      <c r="T69" s="303"/>
      <c r="U69" s="303"/>
      <c r="V69" s="304"/>
      <c r="W69" s="305">
        <f t="shared" si="10"/>
        <v>11</v>
      </c>
      <c r="X69" s="306">
        <f t="shared" si="11"/>
        <v>3</v>
      </c>
      <c r="Y69" s="306">
        <f t="shared" si="12"/>
        <v>1</v>
      </c>
      <c r="Z69" s="307">
        <f t="shared" si="13"/>
        <v>29</v>
      </c>
      <c r="AA69" s="291"/>
      <c r="AB69" s="201">
        <v>17</v>
      </c>
      <c r="AC69" s="63" t="str">
        <f t="shared" si="14"/>
        <v>માથાસુરીયા દિનેશભાઇ અમરાભાઇ</v>
      </c>
      <c r="AD69" s="302" t="s">
        <v>91</v>
      </c>
      <c r="AE69" s="303" t="s">
        <v>91</v>
      </c>
      <c r="AF69" s="303" t="s">
        <v>91</v>
      </c>
      <c r="AG69" s="303" t="s">
        <v>91</v>
      </c>
      <c r="AH69" s="303" t="s">
        <v>91</v>
      </c>
      <c r="AI69" s="303" t="s">
        <v>91</v>
      </c>
      <c r="AJ69" s="303" t="s">
        <v>91</v>
      </c>
      <c r="AK69" s="303" t="s">
        <v>91</v>
      </c>
      <c r="AL69" s="303" t="s">
        <v>92</v>
      </c>
      <c r="AM69" s="303" t="s">
        <v>91</v>
      </c>
      <c r="AN69" s="303" t="s">
        <v>92</v>
      </c>
      <c r="AO69" s="303" t="s">
        <v>91</v>
      </c>
      <c r="AP69" s="303" t="s">
        <v>91</v>
      </c>
      <c r="AQ69" s="303" t="s">
        <v>89</v>
      </c>
      <c r="AR69" s="303" t="s">
        <v>92</v>
      </c>
      <c r="AS69" s="303"/>
      <c r="AT69" s="303"/>
      <c r="AU69" s="303"/>
      <c r="AV69" s="303"/>
      <c r="AW69" s="304"/>
      <c r="AX69" s="305">
        <f t="shared" si="15"/>
        <v>11</v>
      </c>
      <c r="AY69" s="306">
        <f t="shared" si="16"/>
        <v>3</v>
      </c>
      <c r="AZ69" s="306">
        <f t="shared" si="17"/>
        <v>1</v>
      </c>
      <c r="BA69" s="307">
        <f t="shared" si="18"/>
        <v>29</v>
      </c>
      <c r="BB69" s="291"/>
    </row>
    <row r="70" spans="1:54" ht="20.25" customHeight="1">
      <c r="A70" s="201">
        <v>18</v>
      </c>
      <c r="B70" s="63" t="str">
        <f t="shared" si="9"/>
        <v>વાઘેલા હરેશ જીલુભાઇ</v>
      </c>
      <c r="C70" s="302" t="s">
        <v>91</v>
      </c>
      <c r="D70" s="303" t="s">
        <v>91</v>
      </c>
      <c r="E70" s="303" t="s">
        <v>91</v>
      </c>
      <c r="F70" s="303" t="s">
        <v>91</v>
      </c>
      <c r="G70" s="303" t="s">
        <v>91</v>
      </c>
      <c r="H70" s="303" t="s">
        <v>91</v>
      </c>
      <c r="I70" s="303" t="s">
        <v>91</v>
      </c>
      <c r="J70" s="303" t="s">
        <v>91</v>
      </c>
      <c r="K70" s="303" t="s">
        <v>92</v>
      </c>
      <c r="L70" s="303" t="s">
        <v>91</v>
      </c>
      <c r="M70" s="303" t="s">
        <v>92</v>
      </c>
      <c r="N70" s="303" t="s">
        <v>91</v>
      </c>
      <c r="O70" s="303" t="s">
        <v>91</v>
      </c>
      <c r="P70" s="303" t="s">
        <v>89</v>
      </c>
      <c r="Q70" s="303" t="s">
        <v>92</v>
      </c>
      <c r="R70" s="303"/>
      <c r="S70" s="303"/>
      <c r="T70" s="303"/>
      <c r="U70" s="303"/>
      <c r="V70" s="304"/>
      <c r="W70" s="305">
        <f t="shared" si="10"/>
        <v>11</v>
      </c>
      <c r="X70" s="306">
        <f t="shared" si="11"/>
        <v>3</v>
      </c>
      <c r="Y70" s="306">
        <f t="shared" si="12"/>
        <v>1</v>
      </c>
      <c r="Z70" s="307">
        <f t="shared" si="13"/>
        <v>29</v>
      </c>
      <c r="AA70" s="291"/>
      <c r="AB70" s="201">
        <v>18</v>
      </c>
      <c r="AC70" s="63" t="str">
        <f t="shared" si="14"/>
        <v>વાઘેલા હરેશ જીલુભાઇ</v>
      </c>
      <c r="AD70" s="302" t="s">
        <v>91</v>
      </c>
      <c r="AE70" s="303" t="s">
        <v>91</v>
      </c>
      <c r="AF70" s="303" t="s">
        <v>91</v>
      </c>
      <c r="AG70" s="303" t="s">
        <v>91</v>
      </c>
      <c r="AH70" s="303" t="s">
        <v>91</v>
      </c>
      <c r="AI70" s="303" t="s">
        <v>91</v>
      </c>
      <c r="AJ70" s="303" t="s">
        <v>91</v>
      </c>
      <c r="AK70" s="303" t="s">
        <v>91</v>
      </c>
      <c r="AL70" s="303" t="s">
        <v>92</v>
      </c>
      <c r="AM70" s="303" t="s">
        <v>91</v>
      </c>
      <c r="AN70" s="303" t="s">
        <v>92</v>
      </c>
      <c r="AO70" s="303" t="s">
        <v>91</v>
      </c>
      <c r="AP70" s="303" t="s">
        <v>91</v>
      </c>
      <c r="AQ70" s="303" t="s">
        <v>89</v>
      </c>
      <c r="AR70" s="303" t="s">
        <v>92</v>
      </c>
      <c r="AS70" s="303"/>
      <c r="AT70" s="303"/>
      <c r="AU70" s="303"/>
      <c r="AV70" s="303"/>
      <c r="AW70" s="304"/>
      <c r="AX70" s="305">
        <f t="shared" si="15"/>
        <v>11</v>
      </c>
      <c r="AY70" s="306">
        <f t="shared" si="16"/>
        <v>3</v>
      </c>
      <c r="AZ70" s="306">
        <f t="shared" si="17"/>
        <v>1</v>
      </c>
      <c r="BA70" s="307">
        <f t="shared" si="18"/>
        <v>29</v>
      </c>
      <c r="BB70" s="291"/>
    </row>
    <row r="71" spans="1:54" ht="20.25" customHeight="1">
      <c r="A71" s="201">
        <v>19</v>
      </c>
      <c r="B71" s="63" t="str">
        <f t="shared" si="9"/>
        <v>પરમાર દિલીપકુમાર મધુભાઇ</v>
      </c>
      <c r="C71" s="302" t="s">
        <v>91</v>
      </c>
      <c r="D71" s="303" t="s">
        <v>91</v>
      </c>
      <c r="E71" s="303" t="s">
        <v>91</v>
      </c>
      <c r="F71" s="303" t="s">
        <v>91</v>
      </c>
      <c r="G71" s="303" t="s">
        <v>91</v>
      </c>
      <c r="H71" s="303" t="s">
        <v>91</v>
      </c>
      <c r="I71" s="303" t="s">
        <v>91</v>
      </c>
      <c r="J71" s="303" t="s">
        <v>91</v>
      </c>
      <c r="K71" s="303" t="s">
        <v>92</v>
      </c>
      <c r="L71" s="303" t="s">
        <v>91</v>
      </c>
      <c r="M71" s="303" t="s">
        <v>92</v>
      </c>
      <c r="N71" s="303" t="s">
        <v>91</v>
      </c>
      <c r="O71" s="303" t="s">
        <v>91</v>
      </c>
      <c r="P71" s="303" t="s">
        <v>89</v>
      </c>
      <c r="Q71" s="303" t="s">
        <v>92</v>
      </c>
      <c r="R71" s="303"/>
      <c r="S71" s="303"/>
      <c r="T71" s="303"/>
      <c r="U71" s="303"/>
      <c r="V71" s="304"/>
      <c r="W71" s="305">
        <f t="shared" si="10"/>
        <v>11</v>
      </c>
      <c r="X71" s="306">
        <f t="shared" si="11"/>
        <v>3</v>
      </c>
      <c r="Y71" s="306">
        <f t="shared" si="12"/>
        <v>1</v>
      </c>
      <c r="Z71" s="307">
        <f t="shared" si="13"/>
        <v>29</v>
      </c>
      <c r="AA71" s="291"/>
      <c r="AB71" s="201">
        <v>19</v>
      </c>
      <c r="AC71" s="63" t="str">
        <f t="shared" si="14"/>
        <v>પરમાર દિલીપકુમાર મધુભાઇ</v>
      </c>
      <c r="AD71" s="302" t="s">
        <v>91</v>
      </c>
      <c r="AE71" s="303" t="s">
        <v>91</v>
      </c>
      <c r="AF71" s="303" t="s">
        <v>91</v>
      </c>
      <c r="AG71" s="303" t="s">
        <v>91</v>
      </c>
      <c r="AH71" s="303" t="s">
        <v>91</v>
      </c>
      <c r="AI71" s="303" t="s">
        <v>91</v>
      </c>
      <c r="AJ71" s="303" t="s">
        <v>91</v>
      </c>
      <c r="AK71" s="303" t="s">
        <v>91</v>
      </c>
      <c r="AL71" s="303" t="s">
        <v>92</v>
      </c>
      <c r="AM71" s="303" t="s">
        <v>91</v>
      </c>
      <c r="AN71" s="303" t="s">
        <v>92</v>
      </c>
      <c r="AO71" s="303" t="s">
        <v>91</v>
      </c>
      <c r="AP71" s="303" t="s">
        <v>91</v>
      </c>
      <c r="AQ71" s="303" t="s">
        <v>89</v>
      </c>
      <c r="AR71" s="303" t="s">
        <v>92</v>
      </c>
      <c r="AS71" s="303"/>
      <c r="AT71" s="303"/>
      <c r="AU71" s="303"/>
      <c r="AV71" s="303"/>
      <c r="AW71" s="304"/>
      <c r="AX71" s="305">
        <f t="shared" si="15"/>
        <v>11</v>
      </c>
      <c r="AY71" s="306">
        <f t="shared" si="16"/>
        <v>3</v>
      </c>
      <c r="AZ71" s="306">
        <f t="shared" si="17"/>
        <v>1</v>
      </c>
      <c r="BA71" s="307">
        <f t="shared" si="18"/>
        <v>29</v>
      </c>
      <c r="BB71" s="291"/>
    </row>
    <row r="72" spans="1:54" ht="20.25" customHeight="1">
      <c r="A72" s="201">
        <v>20</v>
      </c>
      <c r="B72" s="63" t="str">
        <f t="shared" si="9"/>
        <v>વિરપરા કૃણાલ હરેશભાઇ</v>
      </c>
      <c r="C72" s="302" t="s">
        <v>91</v>
      </c>
      <c r="D72" s="303" t="s">
        <v>91</v>
      </c>
      <c r="E72" s="303" t="s">
        <v>91</v>
      </c>
      <c r="F72" s="303" t="s">
        <v>91</v>
      </c>
      <c r="G72" s="303" t="s">
        <v>91</v>
      </c>
      <c r="H72" s="303" t="s">
        <v>91</v>
      </c>
      <c r="I72" s="303" t="s">
        <v>91</v>
      </c>
      <c r="J72" s="303" t="s">
        <v>91</v>
      </c>
      <c r="K72" s="303" t="s">
        <v>92</v>
      </c>
      <c r="L72" s="303" t="s">
        <v>91</v>
      </c>
      <c r="M72" s="303" t="s">
        <v>92</v>
      </c>
      <c r="N72" s="303" t="s">
        <v>91</v>
      </c>
      <c r="O72" s="303" t="s">
        <v>91</v>
      </c>
      <c r="P72" s="303" t="s">
        <v>89</v>
      </c>
      <c r="Q72" s="303" t="s">
        <v>92</v>
      </c>
      <c r="R72" s="303"/>
      <c r="S72" s="303"/>
      <c r="T72" s="303"/>
      <c r="U72" s="303"/>
      <c r="V72" s="304"/>
      <c r="W72" s="305">
        <f t="shared" si="10"/>
        <v>11</v>
      </c>
      <c r="X72" s="306">
        <f t="shared" si="11"/>
        <v>3</v>
      </c>
      <c r="Y72" s="306">
        <f t="shared" si="12"/>
        <v>1</v>
      </c>
      <c r="Z72" s="307">
        <f t="shared" si="13"/>
        <v>29</v>
      </c>
      <c r="AA72" s="291"/>
      <c r="AB72" s="201">
        <v>20</v>
      </c>
      <c r="AC72" s="63" t="str">
        <f t="shared" si="14"/>
        <v>વિરપરા કૃણાલ હરેશભાઇ</v>
      </c>
      <c r="AD72" s="302" t="s">
        <v>91</v>
      </c>
      <c r="AE72" s="303" t="s">
        <v>91</v>
      </c>
      <c r="AF72" s="303" t="s">
        <v>91</v>
      </c>
      <c r="AG72" s="303" t="s">
        <v>91</v>
      </c>
      <c r="AH72" s="303" t="s">
        <v>91</v>
      </c>
      <c r="AI72" s="303" t="s">
        <v>91</v>
      </c>
      <c r="AJ72" s="303" t="s">
        <v>91</v>
      </c>
      <c r="AK72" s="303" t="s">
        <v>91</v>
      </c>
      <c r="AL72" s="303" t="s">
        <v>92</v>
      </c>
      <c r="AM72" s="303" t="s">
        <v>91</v>
      </c>
      <c r="AN72" s="303" t="s">
        <v>92</v>
      </c>
      <c r="AO72" s="303" t="s">
        <v>91</v>
      </c>
      <c r="AP72" s="303" t="s">
        <v>91</v>
      </c>
      <c r="AQ72" s="303" t="s">
        <v>89</v>
      </c>
      <c r="AR72" s="303" t="s">
        <v>92</v>
      </c>
      <c r="AS72" s="303"/>
      <c r="AT72" s="303"/>
      <c r="AU72" s="303"/>
      <c r="AV72" s="303"/>
      <c r="AW72" s="304"/>
      <c r="AX72" s="305">
        <f t="shared" si="15"/>
        <v>11</v>
      </c>
      <c r="AY72" s="306">
        <f t="shared" si="16"/>
        <v>3</v>
      </c>
      <c r="AZ72" s="306">
        <f t="shared" si="17"/>
        <v>1</v>
      </c>
      <c r="BA72" s="307">
        <f t="shared" si="18"/>
        <v>29</v>
      </c>
      <c r="BB72" s="291"/>
    </row>
    <row r="73" spans="1:54" ht="20.25" customHeight="1">
      <c r="A73" s="201">
        <v>21</v>
      </c>
      <c r="B73" s="63" t="str">
        <f t="shared" si="9"/>
        <v>મકરૂબિયા જીજ્ઞેશભાઇ અશોકભાઇ</v>
      </c>
      <c r="C73" s="302" t="s">
        <v>91</v>
      </c>
      <c r="D73" s="303" t="s">
        <v>91</v>
      </c>
      <c r="E73" s="303" t="s">
        <v>91</v>
      </c>
      <c r="F73" s="303" t="s">
        <v>91</v>
      </c>
      <c r="G73" s="303" t="s">
        <v>91</v>
      </c>
      <c r="H73" s="303" t="s">
        <v>91</v>
      </c>
      <c r="I73" s="303" t="s">
        <v>91</v>
      </c>
      <c r="J73" s="303" t="s">
        <v>91</v>
      </c>
      <c r="K73" s="303" t="s">
        <v>92</v>
      </c>
      <c r="L73" s="303" t="s">
        <v>91</v>
      </c>
      <c r="M73" s="303" t="s">
        <v>92</v>
      </c>
      <c r="N73" s="303" t="s">
        <v>91</v>
      </c>
      <c r="O73" s="303" t="s">
        <v>91</v>
      </c>
      <c r="P73" s="303" t="s">
        <v>89</v>
      </c>
      <c r="Q73" s="303" t="s">
        <v>92</v>
      </c>
      <c r="R73" s="303"/>
      <c r="S73" s="303"/>
      <c r="T73" s="303"/>
      <c r="U73" s="303"/>
      <c r="V73" s="304"/>
      <c r="W73" s="305">
        <f t="shared" si="10"/>
        <v>11</v>
      </c>
      <c r="X73" s="306">
        <f t="shared" si="11"/>
        <v>3</v>
      </c>
      <c r="Y73" s="306">
        <f t="shared" si="12"/>
        <v>1</v>
      </c>
      <c r="Z73" s="307">
        <f t="shared" si="13"/>
        <v>29</v>
      </c>
      <c r="AA73" s="291"/>
      <c r="AB73" s="201">
        <v>21</v>
      </c>
      <c r="AC73" s="63" t="str">
        <f t="shared" si="14"/>
        <v>મકરૂબિયા જીજ્ઞેશભાઇ અશોકભાઇ</v>
      </c>
      <c r="AD73" s="302" t="s">
        <v>91</v>
      </c>
      <c r="AE73" s="303" t="s">
        <v>91</v>
      </c>
      <c r="AF73" s="303" t="s">
        <v>91</v>
      </c>
      <c r="AG73" s="303" t="s">
        <v>91</v>
      </c>
      <c r="AH73" s="303" t="s">
        <v>91</v>
      </c>
      <c r="AI73" s="303" t="s">
        <v>91</v>
      </c>
      <c r="AJ73" s="303" t="s">
        <v>91</v>
      </c>
      <c r="AK73" s="303" t="s">
        <v>91</v>
      </c>
      <c r="AL73" s="303" t="s">
        <v>92</v>
      </c>
      <c r="AM73" s="303" t="s">
        <v>91</v>
      </c>
      <c r="AN73" s="303" t="s">
        <v>92</v>
      </c>
      <c r="AO73" s="303" t="s">
        <v>91</v>
      </c>
      <c r="AP73" s="303" t="s">
        <v>91</v>
      </c>
      <c r="AQ73" s="303" t="s">
        <v>89</v>
      </c>
      <c r="AR73" s="303" t="s">
        <v>92</v>
      </c>
      <c r="AS73" s="303"/>
      <c r="AT73" s="303"/>
      <c r="AU73" s="303"/>
      <c r="AV73" s="303"/>
      <c r="AW73" s="304"/>
      <c r="AX73" s="305">
        <f t="shared" si="15"/>
        <v>11</v>
      </c>
      <c r="AY73" s="306">
        <f t="shared" si="16"/>
        <v>3</v>
      </c>
      <c r="AZ73" s="306">
        <f t="shared" si="17"/>
        <v>1</v>
      </c>
      <c r="BA73" s="307">
        <f t="shared" si="18"/>
        <v>29</v>
      </c>
      <c r="BB73" s="291"/>
    </row>
    <row r="74" spans="1:54" ht="20.25" customHeight="1">
      <c r="A74" s="201">
        <v>22</v>
      </c>
      <c r="B74" s="63" t="str">
        <f t="shared" si="9"/>
        <v>ખિમસુરીયા જ્યોત્સના મુકેશભાઇ</v>
      </c>
      <c r="C74" s="302" t="s">
        <v>91</v>
      </c>
      <c r="D74" s="303" t="s">
        <v>91</v>
      </c>
      <c r="E74" s="303" t="s">
        <v>91</v>
      </c>
      <c r="F74" s="303" t="s">
        <v>91</v>
      </c>
      <c r="G74" s="303" t="s">
        <v>91</v>
      </c>
      <c r="H74" s="303" t="s">
        <v>91</v>
      </c>
      <c r="I74" s="303" t="s">
        <v>91</v>
      </c>
      <c r="J74" s="303" t="s">
        <v>91</v>
      </c>
      <c r="K74" s="303" t="s">
        <v>92</v>
      </c>
      <c r="L74" s="303" t="s">
        <v>91</v>
      </c>
      <c r="M74" s="303" t="s">
        <v>92</v>
      </c>
      <c r="N74" s="303" t="s">
        <v>91</v>
      </c>
      <c r="O74" s="303" t="s">
        <v>91</v>
      </c>
      <c r="P74" s="303" t="s">
        <v>89</v>
      </c>
      <c r="Q74" s="303" t="s">
        <v>92</v>
      </c>
      <c r="R74" s="303"/>
      <c r="S74" s="303"/>
      <c r="T74" s="303"/>
      <c r="U74" s="303"/>
      <c r="V74" s="304"/>
      <c r="W74" s="305">
        <f t="shared" si="10"/>
        <v>11</v>
      </c>
      <c r="X74" s="306">
        <f t="shared" si="11"/>
        <v>3</v>
      </c>
      <c r="Y74" s="306">
        <f t="shared" si="12"/>
        <v>1</v>
      </c>
      <c r="Z74" s="307">
        <f t="shared" si="13"/>
        <v>29</v>
      </c>
      <c r="AA74" s="291"/>
      <c r="AB74" s="201">
        <v>22</v>
      </c>
      <c r="AC74" s="63" t="str">
        <f t="shared" si="14"/>
        <v>ખિમસુરીયા જ્યોત્સના મુકેશભાઇ</v>
      </c>
      <c r="AD74" s="302" t="s">
        <v>91</v>
      </c>
      <c r="AE74" s="303" t="s">
        <v>91</v>
      </c>
      <c r="AF74" s="303" t="s">
        <v>91</v>
      </c>
      <c r="AG74" s="303" t="s">
        <v>91</v>
      </c>
      <c r="AH74" s="303" t="s">
        <v>91</v>
      </c>
      <c r="AI74" s="303" t="s">
        <v>91</v>
      </c>
      <c r="AJ74" s="303" t="s">
        <v>91</v>
      </c>
      <c r="AK74" s="303" t="s">
        <v>91</v>
      </c>
      <c r="AL74" s="303" t="s">
        <v>92</v>
      </c>
      <c r="AM74" s="303" t="s">
        <v>91</v>
      </c>
      <c r="AN74" s="303" t="s">
        <v>92</v>
      </c>
      <c r="AO74" s="303" t="s">
        <v>91</v>
      </c>
      <c r="AP74" s="303" t="s">
        <v>91</v>
      </c>
      <c r="AQ74" s="303" t="s">
        <v>89</v>
      </c>
      <c r="AR74" s="303" t="s">
        <v>92</v>
      </c>
      <c r="AS74" s="303"/>
      <c r="AT74" s="303"/>
      <c r="AU74" s="303"/>
      <c r="AV74" s="303"/>
      <c r="AW74" s="304"/>
      <c r="AX74" s="305">
        <f t="shared" si="15"/>
        <v>11</v>
      </c>
      <c r="AY74" s="306">
        <f t="shared" si="16"/>
        <v>3</v>
      </c>
      <c r="AZ74" s="306">
        <f t="shared" si="17"/>
        <v>1</v>
      </c>
      <c r="BA74" s="307">
        <f t="shared" si="18"/>
        <v>29</v>
      </c>
      <c r="BB74" s="291"/>
    </row>
    <row r="75" spans="1:54" ht="20.25" customHeight="1">
      <c r="A75" s="201">
        <v>23</v>
      </c>
      <c r="B75" s="63" t="str">
        <f t="shared" si="9"/>
        <v>ગરણિયા રાજલબેન સામતભાઇ</v>
      </c>
      <c r="C75" s="302" t="s">
        <v>91</v>
      </c>
      <c r="D75" s="303" t="s">
        <v>91</v>
      </c>
      <c r="E75" s="303" t="s">
        <v>91</v>
      </c>
      <c r="F75" s="303" t="s">
        <v>91</v>
      </c>
      <c r="G75" s="303" t="s">
        <v>91</v>
      </c>
      <c r="H75" s="303" t="s">
        <v>91</v>
      </c>
      <c r="I75" s="303" t="s">
        <v>91</v>
      </c>
      <c r="J75" s="303" t="s">
        <v>91</v>
      </c>
      <c r="K75" s="303" t="s">
        <v>92</v>
      </c>
      <c r="L75" s="303" t="s">
        <v>91</v>
      </c>
      <c r="M75" s="303" t="s">
        <v>92</v>
      </c>
      <c r="N75" s="303" t="s">
        <v>91</v>
      </c>
      <c r="O75" s="303" t="s">
        <v>91</v>
      </c>
      <c r="P75" s="303" t="s">
        <v>89</v>
      </c>
      <c r="Q75" s="303" t="s">
        <v>92</v>
      </c>
      <c r="R75" s="303"/>
      <c r="S75" s="303"/>
      <c r="T75" s="303"/>
      <c r="U75" s="303"/>
      <c r="V75" s="304"/>
      <c r="W75" s="305">
        <f t="shared" si="10"/>
        <v>11</v>
      </c>
      <c r="X75" s="306">
        <f t="shared" si="11"/>
        <v>3</v>
      </c>
      <c r="Y75" s="306">
        <f t="shared" si="12"/>
        <v>1</v>
      </c>
      <c r="Z75" s="307">
        <f t="shared" si="13"/>
        <v>29</v>
      </c>
      <c r="AA75" s="291"/>
      <c r="AB75" s="201">
        <v>23</v>
      </c>
      <c r="AC75" s="63" t="str">
        <f t="shared" si="14"/>
        <v>ગરણિયા રાજલબેન સામતભાઇ</v>
      </c>
      <c r="AD75" s="302" t="s">
        <v>91</v>
      </c>
      <c r="AE75" s="303" t="s">
        <v>91</v>
      </c>
      <c r="AF75" s="303" t="s">
        <v>91</v>
      </c>
      <c r="AG75" s="303" t="s">
        <v>91</v>
      </c>
      <c r="AH75" s="303" t="s">
        <v>91</v>
      </c>
      <c r="AI75" s="303" t="s">
        <v>91</v>
      </c>
      <c r="AJ75" s="303" t="s">
        <v>91</v>
      </c>
      <c r="AK75" s="303" t="s">
        <v>91</v>
      </c>
      <c r="AL75" s="303" t="s">
        <v>92</v>
      </c>
      <c r="AM75" s="303" t="s">
        <v>91</v>
      </c>
      <c r="AN75" s="303" t="s">
        <v>92</v>
      </c>
      <c r="AO75" s="303" t="s">
        <v>91</v>
      </c>
      <c r="AP75" s="303" t="s">
        <v>91</v>
      </c>
      <c r="AQ75" s="303" t="s">
        <v>89</v>
      </c>
      <c r="AR75" s="303" t="s">
        <v>92</v>
      </c>
      <c r="AS75" s="303"/>
      <c r="AT75" s="303"/>
      <c r="AU75" s="303"/>
      <c r="AV75" s="303"/>
      <c r="AW75" s="304"/>
      <c r="AX75" s="305">
        <f t="shared" si="15"/>
        <v>11</v>
      </c>
      <c r="AY75" s="306">
        <f t="shared" si="16"/>
        <v>3</v>
      </c>
      <c r="AZ75" s="306">
        <f t="shared" si="17"/>
        <v>1</v>
      </c>
      <c r="BA75" s="307">
        <f t="shared" si="18"/>
        <v>29</v>
      </c>
      <c r="BB75" s="291"/>
    </row>
    <row r="76" spans="1:54" ht="20.25" customHeight="1">
      <c r="A76" s="201">
        <v>24</v>
      </c>
      <c r="B76" s="63" t="str">
        <f t="shared" si="9"/>
        <v>ગરણિયા નિરાલીબેન પ્રદીપભાઇ</v>
      </c>
      <c r="C76" s="302" t="s">
        <v>91</v>
      </c>
      <c r="D76" s="303" t="s">
        <v>91</v>
      </c>
      <c r="E76" s="303" t="s">
        <v>91</v>
      </c>
      <c r="F76" s="303" t="s">
        <v>91</v>
      </c>
      <c r="G76" s="303" t="s">
        <v>91</v>
      </c>
      <c r="H76" s="303" t="s">
        <v>91</v>
      </c>
      <c r="I76" s="303" t="s">
        <v>91</v>
      </c>
      <c r="J76" s="303" t="s">
        <v>91</v>
      </c>
      <c r="K76" s="303" t="s">
        <v>92</v>
      </c>
      <c r="L76" s="303" t="s">
        <v>91</v>
      </c>
      <c r="M76" s="303" t="s">
        <v>92</v>
      </c>
      <c r="N76" s="303" t="s">
        <v>91</v>
      </c>
      <c r="O76" s="303" t="s">
        <v>91</v>
      </c>
      <c r="P76" s="303" t="s">
        <v>89</v>
      </c>
      <c r="Q76" s="303" t="s">
        <v>92</v>
      </c>
      <c r="R76" s="303"/>
      <c r="S76" s="303"/>
      <c r="T76" s="303"/>
      <c r="U76" s="303"/>
      <c r="V76" s="304"/>
      <c r="W76" s="305">
        <f t="shared" si="10"/>
        <v>11</v>
      </c>
      <c r="X76" s="306">
        <f t="shared" si="11"/>
        <v>3</v>
      </c>
      <c r="Y76" s="306">
        <f t="shared" si="12"/>
        <v>1</v>
      </c>
      <c r="Z76" s="307">
        <f t="shared" si="13"/>
        <v>29</v>
      </c>
      <c r="AA76" s="291"/>
      <c r="AB76" s="201">
        <v>24</v>
      </c>
      <c r="AC76" s="63" t="str">
        <f t="shared" si="14"/>
        <v>ગરણિયા નિરાલીબેન પ્રદીપભાઇ</v>
      </c>
      <c r="AD76" s="302" t="s">
        <v>91</v>
      </c>
      <c r="AE76" s="303" t="s">
        <v>91</v>
      </c>
      <c r="AF76" s="303" t="s">
        <v>91</v>
      </c>
      <c r="AG76" s="303" t="s">
        <v>91</v>
      </c>
      <c r="AH76" s="303" t="s">
        <v>91</v>
      </c>
      <c r="AI76" s="303" t="s">
        <v>91</v>
      </c>
      <c r="AJ76" s="303" t="s">
        <v>91</v>
      </c>
      <c r="AK76" s="303" t="s">
        <v>91</v>
      </c>
      <c r="AL76" s="303" t="s">
        <v>92</v>
      </c>
      <c r="AM76" s="303" t="s">
        <v>91</v>
      </c>
      <c r="AN76" s="303" t="s">
        <v>92</v>
      </c>
      <c r="AO76" s="303" t="s">
        <v>91</v>
      </c>
      <c r="AP76" s="303" t="s">
        <v>91</v>
      </c>
      <c r="AQ76" s="303" t="s">
        <v>89</v>
      </c>
      <c r="AR76" s="303" t="s">
        <v>92</v>
      </c>
      <c r="AS76" s="303"/>
      <c r="AT76" s="303"/>
      <c r="AU76" s="303"/>
      <c r="AV76" s="303"/>
      <c r="AW76" s="304"/>
      <c r="AX76" s="305">
        <f t="shared" si="15"/>
        <v>11</v>
      </c>
      <c r="AY76" s="306">
        <f t="shared" si="16"/>
        <v>3</v>
      </c>
      <c r="AZ76" s="306">
        <f t="shared" si="17"/>
        <v>1</v>
      </c>
      <c r="BA76" s="307">
        <f t="shared" si="18"/>
        <v>29</v>
      </c>
      <c r="BB76" s="291"/>
    </row>
    <row r="77" spans="1:54" ht="20.25" customHeight="1">
      <c r="A77" s="201">
        <v>25</v>
      </c>
      <c r="B77" s="63" t="str">
        <f t="shared" si="9"/>
        <v>ગરણિયા રાધાબેન લક્ષ્મણભાઇ</v>
      </c>
      <c r="C77" s="302" t="s">
        <v>91</v>
      </c>
      <c r="D77" s="303" t="s">
        <v>91</v>
      </c>
      <c r="E77" s="303" t="s">
        <v>91</v>
      </c>
      <c r="F77" s="303" t="s">
        <v>91</v>
      </c>
      <c r="G77" s="303" t="s">
        <v>91</v>
      </c>
      <c r="H77" s="303" t="s">
        <v>91</v>
      </c>
      <c r="I77" s="303" t="s">
        <v>91</v>
      </c>
      <c r="J77" s="303" t="s">
        <v>91</v>
      </c>
      <c r="K77" s="303" t="s">
        <v>92</v>
      </c>
      <c r="L77" s="303" t="s">
        <v>91</v>
      </c>
      <c r="M77" s="303" t="s">
        <v>92</v>
      </c>
      <c r="N77" s="303" t="s">
        <v>91</v>
      </c>
      <c r="O77" s="303" t="s">
        <v>91</v>
      </c>
      <c r="P77" s="303" t="s">
        <v>89</v>
      </c>
      <c r="Q77" s="303" t="s">
        <v>92</v>
      </c>
      <c r="R77" s="303"/>
      <c r="S77" s="303"/>
      <c r="T77" s="303"/>
      <c r="U77" s="303"/>
      <c r="V77" s="304"/>
      <c r="W77" s="305">
        <f t="shared" si="10"/>
        <v>11</v>
      </c>
      <c r="X77" s="306">
        <f t="shared" si="11"/>
        <v>3</v>
      </c>
      <c r="Y77" s="306">
        <f t="shared" si="12"/>
        <v>1</v>
      </c>
      <c r="Z77" s="307">
        <f t="shared" si="13"/>
        <v>29</v>
      </c>
      <c r="AA77" s="291"/>
      <c r="AB77" s="201">
        <v>25</v>
      </c>
      <c r="AC77" s="63" t="str">
        <f t="shared" si="14"/>
        <v>ગરણિયા રાધાબેન લક્ષ્મણભાઇ</v>
      </c>
      <c r="AD77" s="302" t="s">
        <v>91</v>
      </c>
      <c r="AE77" s="303" t="s">
        <v>91</v>
      </c>
      <c r="AF77" s="303" t="s">
        <v>91</v>
      </c>
      <c r="AG77" s="303" t="s">
        <v>91</v>
      </c>
      <c r="AH77" s="303" t="s">
        <v>91</v>
      </c>
      <c r="AI77" s="303" t="s">
        <v>91</v>
      </c>
      <c r="AJ77" s="303" t="s">
        <v>91</v>
      </c>
      <c r="AK77" s="303" t="s">
        <v>91</v>
      </c>
      <c r="AL77" s="303" t="s">
        <v>92</v>
      </c>
      <c r="AM77" s="303" t="s">
        <v>91</v>
      </c>
      <c r="AN77" s="303" t="s">
        <v>92</v>
      </c>
      <c r="AO77" s="303" t="s">
        <v>91</v>
      </c>
      <c r="AP77" s="303" t="s">
        <v>91</v>
      </c>
      <c r="AQ77" s="303" t="s">
        <v>89</v>
      </c>
      <c r="AR77" s="303" t="s">
        <v>92</v>
      </c>
      <c r="AS77" s="303"/>
      <c r="AT77" s="303"/>
      <c r="AU77" s="303"/>
      <c r="AV77" s="303"/>
      <c r="AW77" s="304"/>
      <c r="AX77" s="305">
        <f t="shared" si="15"/>
        <v>11</v>
      </c>
      <c r="AY77" s="306">
        <f t="shared" si="16"/>
        <v>3</v>
      </c>
      <c r="AZ77" s="306">
        <f t="shared" si="17"/>
        <v>1</v>
      </c>
      <c r="BA77" s="307">
        <f t="shared" si="18"/>
        <v>29</v>
      </c>
      <c r="BB77" s="291"/>
    </row>
    <row r="78" spans="1:54" ht="20.25" customHeight="1">
      <c r="A78" s="201">
        <v>26</v>
      </c>
      <c r="B78" s="63" t="str">
        <f t="shared" si="9"/>
        <v>ગૌસ્વામિ મયુરીબેન રમેશગીરી</v>
      </c>
      <c r="C78" s="302" t="s">
        <v>91</v>
      </c>
      <c r="D78" s="303" t="s">
        <v>91</v>
      </c>
      <c r="E78" s="303" t="s">
        <v>91</v>
      </c>
      <c r="F78" s="303" t="s">
        <v>91</v>
      </c>
      <c r="G78" s="303" t="s">
        <v>91</v>
      </c>
      <c r="H78" s="303" t="s">
        <v>91</v>
      </c>
      <c r="I78" s="303" t="s">
        <v>91</v>
      </c>
      <c r="J78" s="303" t="s">
        <v>91</v>
      </c>
      <c r="K78" s="303" t="s">
        <v>92</v>
      </c>
      <c r="L78" s="303" t="s">
        <v>91</v>
      </c>
      <c r="M78" s="303" t="s">
        <v>92</v>
      </c>
      <c r="N78" s="303" t="s">
        <v>91</v>
      </c>
      <c r="O78" s="303" t="s">
        <v>91</v>
      </c>
      <c r="P78" s="303" t="s">
        <v>89</v>
      </c>
      <c r="Q78" s="303" t="s">
        <v>92</v>
      </c>
      <c r="R78" s="303"/>
      <c r="S78" s="303"/>
      <c r="T78" s="303"/>
      <c r="U78" s="303"/>
      <c r="V78" s="304"/>
      <c r="W78" s="305">
        <f t="shared" si="10"/>
        <v>11</v>
      </c>
      <c r="X78" s="306">
        <f t="shared" si="11"/>
        <v>3</v>
      </c>
      <c r="Y78" s="306">
        <f t="shared" si="12"/>
        <v>1</v>
      </c>
      <c r="Z78" s="307">
        <f t="shared" si="13"/>
        <v>29</v>
      </c>
      <c r="AA78" s="291"/>
      <c r="AB78" s="201">
        <v>26</v>
      </c>
      <c r="AC78" s="63" t="str">
        <f t="shared" si="14"/>
        <v>ગૌસ્વામિ મયુરીબેન રમેશગીરી</v>
      </c>
      <c r="AD78" s="302" t="s">
        <v>91</v>
      </c>
      <c r="AE78" s="303" t="s">
        <v>91</v>
      </c>
      <c r="AF78" s="303" t="s">
        <v>91</v>
      </c>
      <c r="AG78" s="303" t="s">
        <v>91</v>
      </c>
      <c r="AH78" s="303" t="s">
        <v>91</v>
      </c>
      <c r="AI78" s="303" t="s">
        <v>91</v>
      </c>
      <c r="AJ78" s="303" t="s">
        <v>91</v>
      </c>
      <c r="AK78" s="303" t="s">
        <v>91</v>
      </c>
      <c r="AL78" s="303" t="s">
        <v>92</v>
      </c>
      <c r="AM78" s="303" t="s">
        <v>91</v>
      </c>
      <c r="AN78" s="303" t="s">
        <v>92</v>
      </c>
      <c r="AO78" s="303" t="s">
        <v>91</v>
      </c>
      <c r="AP78" s="303" t="s">
        <v>91</v>
      </c>
      <c r="AQ78" s="303" t="s">
        <v>89</v>
      </c>
      <c r="AR78" s="303" t="s">
        <v>92</v>
      </c>
      <c r="AS78" s="303"/>
      <c r="AT78" s="303"/>
      <c r="AU78" s="303"/>
      <c r="AV78" s="303"/>
      <c r="AW78" s="304"/>
      <c r="AX78" s="305">
        <f t="shared" si="15"/>
        <v>11</v>
      </c>
      <c r="AY78" s="306">
        <f t="shared" si="16"/>
        <v>3</v>
      </c>
      <c r="AZ78" s="306">
        <f t="shared" si="17"/>
        <v>1</v>
      </c>
      <c r="BA78" s="307">
        <f t="shared" si="18"/>
        <v>29</v>
      </c>
      <c r="BB78" s="291"/>
    </row>
    <row r="79" spans="1:54" ht="20.25" customHeight="1">
      <c r="A79" s="201">
        <v>27</v>
      </c>
      <c r="B79" s="63" t="str">
        <f t="shared" si="9"/>
        <v>બતાડા જાનકી વાલાભાઇ</v>
      </c>
      <c r="C79" s="302" t="s">
        <v>91</v>
      </c>
      <c r="D79" s="303" t="s">
        <v>91</v>
      </c>
      <c r="E79" s="303" t="s">
        <v>91</v>
      </c>
      <c r="F79" s="303" t="s">
        <v>91</v>
      </c>
      <c r="G79" s="303" t="s">
        <v>91</v>
      </c>
      <c r="H79" s="303" t="s">
        <v>91</v>
      </c>
      <c r="I79" s="303" t="s">
        <v>91</v>
      </c>
      <c r="J79" s="303" t="s">
        <v>91</v>
      </c>
      <c r="K79" s="303" t="s">
        <v>92</v>
      </c>
      <c r="L79" s="303" t="s">
        <v>91</v>
      </c>
      <c r="M79" s="303" t="s">
        <v>92</v>
      </c>
      <c r="N79" s="303" t="s">
        <v>91</v>
      </c>
      <c r="O79" s="303" t="s">
        <v>91</v>
      </c>
      <c r="P79" s="303" t="s">
        <v>89</v>
      </c>
      <c r="Q79" s="303" t="s">
        <v>92</v>
      </c>
      <c r="R79" s="303"/>
      <c r="S79" s="303"/>
      <c r="T79" s="303"/>
      <c r="U79" s="303"/>
      <c r="V79" s="304"/>
      <c r="W79" s="305">
        <f t="shared" si="10"/>
        <v>11</v>
      </c>
      <c r="X79" s="306">
        <f t="shared" si="11"/>
        <v>3</v>
      </c>
      <c r="Y79" s="306">
        <f t="shared" si="12"/>
        <v>1</v>
      </c>
      <c r="Z79" s="307">
        <f t="shared" si="13"/>
        <v>29</v>
      </c>
      <c r="AA79" s="291"/>
      <c r="AB79" s="201">
        <v>27</v>
      </c>
      <c r="AC79" s="63" t="str">
        <f t="shared" si="14"/>
        <v>બતાડા જાનકી વાલાભાઇ</v>
      </c>
      <c r="AD79" s="302" t="s">
        <v>91</v>
      </c>
      <c r="AE79" s="303" t="s">
        <v>91</v>
      </c>
      <c r="AF79" s="303" t="s">
        <v>91</v>
      </c>
      <c r="AG79" s="303" t="s">
        <v>91</v>
      </c>
      <c r="AH79" s="303" t="s">
        <v>91</v>
      </c>
      <c r="AI79" s="303" t="s">
        <v>91</v>
      </c>
      <c r="AJ79" s="303" t="s">
        <v>91</v>
      </c>
      <c r="AK79" s="303" t="s">
        <v>91</v>
      </c>
      <c r="AL79" s="303" t="s">
        <v>92</v>
      </c>
      <c r="AM79" s="303" t="s">
        <v>91</v>
      </c>
      <c r="AN79" s="303" t="s">
        <v>92</v>
      </c>
      <c r="AO79" s="303" t="s">
        <v>91</v>
      </c>
      <c r="AP79" s="303" t="s">
        <v>91</v>
      </c>
      <c r="AQ79" s="303" t="s">
        <v>89</v>
      </c>
      <c r="AR79" s="303" t="s">
        <v>92</v>
      </c>
      <c r="AS79" s="303"/>
      <c r="AT79" s="303"/>
      <c r="AU79" s="303"/>
      <c r="AV79" s="303"/>
      <c r="AW79" s="304"/>
      <c r="AX79" s="305">
        <f t="shared" si="15"/>
        <v>11</v>
      </c>
      <c r="AY79" s="306">
        <f t="shared" si="16"/>
        <v>3</v>
      </c>
      <c r="AZ79" s="306">
        <f t="shared" si="17"/>
        <v>1</v>
      </c>
      <c r="BA79" s="307">
        <f t="shared" si="18"/>
        <v>29</v>
      </c>
      <c r="BB79" s="291"/>
    </row>
    <row r="80" spans="1:54" ht="20.25" customHeight="1">
      <c r="A80" s="201">
        <v>28</v>
      </c>
      <c r="B80" s="63" t="str">
        <f t="shared" si="9"/>
        <v>બતાડા ક્રિષ્નાબેન દેવશીભાઇ</v>
      </c>
      <c r="C80" s="302" t="s">
        <v>91</v>
      </c>
      <c r="D80" s="303" t="s">
        <v>91</v>
      </c>
      <c r="E80" s="303" t="s">
        <v>91</v>
      </c>
      <c r="F80" s="303" t="s">
        <v>91</v>
      </c>
      <c r="G80" s="303" t="s">
        <v>91</v>
      </c>
      <c r="H80" s="303" t="s">
        <v>91</v>
      </c>
      <c r="I80" s="303" t="s">
        <v>91</v>
      </c>
      <c r="J80" s="303" t="s">
        <v>91</v>
      </c>
      <c r="K80" s="303" t="s">
        <v>92</v>
      </c>
      <c r="L80" s="303" t="s">
        <v>91</v>
      </c>
      <c r="M80" s="303" t="s">
        <v>92</v>
      </c>
      <c r="N80" s="303" t="s">
        <v>91</v>
      </c>
      <c r="O80" s="303" t="s">
        <v>91</v>
      </c>
      <c r="P80" s="303" t="s">
        <v>89</v>
      </c>
      <c r="Q80" s="303" t="s">
        <v>92</v>
      </c>
      <c r="R80" s="303"/>
      <c r="S80" s="303"/>
      <c r="T80" s="303"/>
      <c r="U80" s="303"/>
      <c r="V80" s="304"/>
      <c r="W80" s="305">
        <f t="shared" si="10"/>
        <v>11</v>
      </c>
      <c r="X80" s="306">
        <f t="shared" si="11"/>
        <v>3</v>
      </c>
      <c r="Y80" s="306">
        <f t="shared" si="12"/>
        <v>1</v>
      </c>
      <c r="Z80" s="307">
        <f t="shared" si="13"/>
        <v>29</v>
      </c>
      <c r="AA80" s="291"/>
      <c r="AB80" s="201">
        <v>28</v>
      </c>
      <c r="AC80" s="63" t="str">
        <f t="shared" si="14"/>
        <v>બતાડા ક્રિષ્નાબેન દેવશીભાઇ</v>
      </c>
      <c r="AD80" s="302" t="s">
        <v>91</v>
      </c>
      <c r="AE80" s="303" t="s">
        <v>91</v>
      </c>
      <c r="AF80" s="303" t="s">
        <v>91</v>
      </c>
      <c r="AG80" s="303" t="s">
        <v>91</v>
      </c>
      <c r="AH80" s="303" t="s">
        <v>91</v>
      </c>
      <c r="AI80" s="303" t="s">
        <v>91</v>
      </c>
      <c r="AJ80" s="303" t="s">
        <v>91</v>
      </c>
      <c r="AK80" s="303" t="s">
        <v>91</v>
      </c>
      <c r="AL80" s="303" t="s">
        <v>92</v>
      </c>
      <c r="AM80" s="303" t="s">
        <v>91</v>
      </c>
      <c r="AN80" s="303" t="s">
        <v>92</v>
      </c>
      <c r="AO80" s="303" t="s">
        <v>91</v>
      </c>
      <c r="AP80" s="303" t="s">
        <v>91</v>
      </c>
      <c r="AQ80" s="303" t="s">
        <v>89</v>
      </c>
      <c r="AR80" s="303" t="s">
        <v>92</v>
      </c>
      <c r="AS80" s="303"/>
      <c r="AT80" s="303"/>
      <c r="AU80" s="303"/>
      <c r="AV80" s="303"/>
      <c r="AW80" s="304"/>
      <c r="AX80" s="305">
        <f t="shared" si="15"/>
        <v>11</v>
      </c>
      <c r="AY80" s="306">
        <f t="shared" si="16"/>
        <v>3</v>
      </c>
      <c r="AZ80" s="306">
        <f t="shared" si="17"/>
        <v>1</v>
      </c>
      <c r="BA80" s="307">
        <f t="shared" si="18"/>
        <v>29</v>
      </c>
      <c r="BB80" s="291"/>
    </row>
    <row r="81" spans="1:54" ht="20.25" customHeight="1">
      <c r="A81" s="201">
        <v>29</v>
      </c>
      <c r="B81" s="63" t="str">
        <f t="shared" si="9"/>
        <v>પરમાર અનિષા રમેશભાઇ</v>
      </c>
      <c r="C81" s="302" t="s">
        <v>91</v>
      </c>
      <c r="D81" s="303" t="s">
        <v>91</v>
      </c>
      <c r="E81" s="303" t="s">
        <v>91</v>
      </c>
      <c r="F81" s="303" t="s">
        <v>91</v>
      </c>
      <c r="G81" s="303" t="s">
        <v>91</v>
      </c>
      <c r="H81" s="303" t="s">
        <v>91</v>
      </c>
      <c r="I81" s="303" t="s">
        <v>91</v>
      </c>
      <c r="J81" s="303" t="s">
        <v>91</v>
      </c>
      <c r="K81" s="303" t="s">
        <v>92</v>
      </c>
      <c r="L81" s="303" t="s">
        <v>91</v>
      </c>
      <c r="M81" s="303" t="s">
        <v>92</v>
      </c>
      <c r="N81" s="303" t="s">
        <v>91</v>
      </c>
      <c r="O81" s="303" t="s">
        <v>91</v>
      </c>
      <c r="P81" s="303" t="s">
        <v>89</v>
      </c>
      <c r="Q81" s="303" t="s">
        <v>92</v>
      </c>
      <c r="R81" s="303"/>
      <c r="S81" s="303"/>
      <c r="T81" s="303"/>
      <c r="U81" s="303"/>
      <c r="V81" s="304"/>
      <c r="W81" s="305">
        <f t="shared" si="10"/>
        <v>11</v>
      </c>
      <c r="X81" s="306">
        <f t="shared" si="11"/>
        <v>3</v>
      </c>
      <c r="Y81" s="306">
        <f t="shared" si="12"/>
        <v>1</v>
      </c>
      <c r="Z81" s="307">
        <f t="shared" si="13"/>
        <v>29</v>
      </c>
      <c r="AA81" s="291"/>
      <c r="AB81" s="201">
        <v>29</v>
      </c>
      <c r="AC81" s="63" t="str">
        <f t="shared" si="14"/>
        <v>પરમાર અનિષા રમેશભાઇ</v>
      </c>
      <c r="AD81" s="302" t="s">
        <v>91</v>
      </c>
      <c r="AE81" s="303" t="s">
        <v>91</v>
      </c>
      <c r="AF81" s="303" t="s">
        <v>91</v>
      </c>
      <c r="AG81" s="303" t="s">
        <v>91</v>
      </c>
      <c r="AH81" s="303" t="s">
        <v>91</v>
      </c>
      <c r="AI81" s="303" t="s">
        <v>91</v>
      </c>
      <c r="AJ81" s="303" t="s">
        <v>91</v>
      </c>
      <c r="AK81" s="303" t="s">
        <v>91</v>
      </c>
      <c r="AL81" s="303" t="s">
        <v>92</v>
      </c>
      <c r="AM81" s="303" t="s">
        <v>91</v>
      </c>
      <c r="AN81" s="303" t="s">
        <v>92</v>
      </c>
      <c r="AO81" s="303" t="s">
        <v>91</v>
      </c>
      <c r="AP81" s="303" t="s">
        <v>91</v>
      </c>
      <c r="AQ81" s="303" t="s">
        <v>89</v>
      </c>
      <c r="AR81" s="303" t="s">
        <v>92</v>
      </c>
      <c r="AS81" s="303"/>
      <c r="AT81" s="303"/>
      <c r="AU81" s="303"/>
      <c r="AV81" s="303"/>
      <c r="AW81" s="304"/>
      <c r="AX81" s="305">
        <f t="shared" si="15"/>
        <v>11</v>
      </c>
      <c r="AY81" s="306">
        <f t="shared" si="16"/>
        <v>3</v>
      </c>
      <c r="AZ81" s="306">
        <f t="shared" si="17"/>
        <v>1</v>
      </c>
      <c r="BA81" s="307">
        <f t="shared" si="18"/>
        <v>29</v>
      </c>
      <c r="BB81" s="291"/>
    </row>
    <row r="82" spans="1:54" ht="20.25" customHeight="1">
      <c r="A82" s="201">
        <v>30</v>
      </c>
      <c r="B82" s="63" t="str">
        <f t="shared" si="9"/>
        <v>મકરૂબિયા નમ્રતા વશરામભાઇ</v>
      </c>
      <c r="C82" s="302" t="s">
        <v>91</v>
      </c>
      <c r="D82" s="303" t="s">
        <v>91</v>
      </c>
      <c r="E82" s="303" t="s">
        <v>91</v>
      </c>
      <c r="F82" s="303" t="s">
        <v>91</v>
      </c>
      <c r="G82" s="303" t="s">
        <v>91</v>
      </c>
      <c r="H82" s="303" t="s">
        <v>91</v>
      </c>
      <c r="I82" s="303" t="s">
        <v>91</v>
      </c>
      <c r="J82" s="303" t="s">
        <v>91</v>
      </c>
      <c r="K82" s="303" t="s">
        <v>92</v>
      </c>
      <c r="L82" s="303" t="s">
        <v>91</v>
      </c>
      <c r="M82" s="303" t="s">
        <v>92</v>
      </c>
      <c r="N82" s="303" t="s">
        <v>91</v>
      </c>
      <c r="O82" s="303" t="s">
        <v>91</v>
      </c>
      <c r="P82" s="303" t="s">
        <v>89</v>
      </c>
      <c r="Q82" s="303" t="s">
        <v>92</v>
      </c>
      <c r="R82" s="303"/>
      <c r="S82" s="303"/>
      <c r="T82" s="303"/>
      <c r="U82" s="303"/>
      <c r="V82" s="304"/>
      <c r="W82" s="305">
        <f t="shared" si="10"/>
        <v>11</v>
      </c>
      <c r="X82" s="306">
        <f t="shared" si="11"/>
        <v>3</v>
      </c>
      <c r="Y82" s="306">
        <f t="shared" si="12"/>
        <v>1</v>
      </c>
      <c r="Z82" s="307">
        <f t="shared" si="13"/>
        <v>29</v>
      </c>
      <c r="AA82" s="291"/>
      <c r="AB82" s="201">
        <v>30</v>
      </c>
      <c r="AC82" s="63" t="str">
        <f t="shared" si="14"/>
        <v>મકરૂબિયા નમ્રતા વશરામભાઇ</v>
      </c>
      <c r="AD82" s="302" t="s">
        <v>91</v>
      </c>
      <c r="AE82" s="303" t="s">
        <v>91</v>
      </c>
      <c r="AF82" s="303" t="s">
        <v>91</v>
      </c>
      <c r="AG82" s="303" t="s">
        <v>91</v>
      </c>
      <c r="AH82" s="303" t="s">
        <v>91</v>
      </c>
      <c r="AI82" s="303" t="s">
        <v>91</v>
      </c>
      <c r="AJ82" s="303" t="s">
        <v>91</v>
      </c>
      <c r="AK82" s="303" t="s">
        <v>91</v>
      </c>
      <c r="AL82" s="303" t="s">
        <v>92</v>
      </c>
      <c r="AM82" s="303" t="s">
        <v>91</v>
      </c>
      <c r="AN82" s="303" t="s">
        <v>92</v>
      </c>
      <c r="AO82" s="303" t="s">
        <v>91</v>
      </c>
      <c r="AP82" s="303" t="s">
        <v>91</v>
      </c>
      <c r="AQ82" s="303" t="s">
        <v>89</v>
      </c>
      <c r="AR82" s="303" t="s">
        <v>92</v>
      </c>
      <c r="AS82" s="303"/>
      <c r="AT82" s="303"/>
      <c r="AU82" s="303"/>
      <c r="AV82" s="303"/>
      <c r="AW82" s="304"/>
      <c r="AX82" s="305">
        <f t="shared" si="15"/>
        <v>11</v>
      </c>
      <c r="AY82" s="306">
        <f t="shared" si="16"/>
        <v>3</v>
      </c>
      <c r="AZ82" s="306">
        <f t="shared" si="17"/>
        <v>1</v>
      </c>
      <c r="BA82" s="307">
        <f t="shared" si="18"/>
        <v>29</v>
      </c>
      <c r="BB82" s="291"/>
    </row>
    <row r="83" spans="1:54" ht="20.25" customHeight="1">
      <c r="A83" s="201">
        <v>31</v>
      </c>
      <c r="B83" s="63">
        <f t="shared" si="9"/>
        <v>0</v>
      </c>
      <c r="C83" s="302"/>
      <c r="D83" s="303"/>
      <c r="E83" s="303"/>
      <c r="F83" s="303"/>
      <c r="G83" s="303"/>
      <c r="H83" s="303"/>
      <c r="I83" s="303"/>
      <c r="J83" s="303"/>
      <c r="K83" s="303"/>
      <c r="L83" s="303"/>
      <c r="M83" s="303"/>
      <c r="N83" s="303"/>
      <c r="O83" s="303"/>
      <c r="P83" s="303"/>
      <c r="Q83" s="303"/>
      <c r="R83" s="303"/>
      <c r="S83" s="303"/>
      <c r="T83" s="303"/>
      <c r="U83" s="303"/>
      <c r="V83" s="304"/>
      <c r="W83" s="305">
        <f t="shared" si="10"/>
        <v>0</v>
      </c>
      <c r="X83" s="306">
        <f t="shared" si="11"/>
        <v>0</v>
      </c>
      <c r="Y83" s="306">
        <f t="shared" si="12"/>
        <v>0</v>
      </c>
      <c r="Z83" s="307">
        <f t="shared" si="13"/>
        <v>0</v>
      </c>
      <c r="AA83" s="291"/>
      <c r="AB83" s="201">
        <v>31</v>
      </c>
      <c r="AC83" s="63">
        <f t="shared" si="14"/>
        <v>0</v>
      </c>
      <c r="AD83" s="302"/>
      <c r="AE83" s="303"/>
      <c r="AF83" s="303"/>
      <c r="AG83" s="303"/>
      <c r="AH83" s="303"/>
      <c r="AI83" s="303"/>
      <c r="AJ83" s="303"/>
      <c r="AK83" s="303"/>
      <c r="AL83" s="303"/>
      <c r="AM83" s="303"/>
      <c r="AN83" s="303"/>
      <c r="AO83" s="303"/>
      <c r="AP83" s="303"/>
      <c r="AQ83" s="303"/>
      <c r="AR83" s="303"/>
      <c r="AS83" s="303"/>
      <c r="AT83" s="303"/>
      <c r="AU83" s="303"/>
      <c r="AV83" s="303"/>
      <c r="AW83" s="304"/>
      <c r="AX83" s="305">
        <f t="shared" si="15"/>
        <v>0</v>
      </c>
      <c r="AY83" s="306">
        <f t="shared" si="16"/>
        <v>0</v>
      </c>
      <c r="AZ83" s="306">
        <f t="shared" si="17"/>
        <v>0</v>
      </c>
      <c r="BA83" s="307">
        <f t="shared" si="18"/>
        <v>0</v>
      </c>
      <c r="BB83" s="291"/>
    </row>
    <row r="84" spans="1:54" ht="20.25" customHeight="1">
      <c r="A84" s="201">
        <v>32</v>
      </c>
      <c r="B84" s="63">
        <f t="shared" si="9"/>
        <v>0</v>
      </c>
      <c r="C84" s="302"/>
      <c r="D84" s="303"/>
      <c r="E84" s="303"/>
      <c r="F84" s="303"/>
      <c r="G84" s="303"/>
      <c r="H84" s="303"/>
      <c r="I84" s="303"/>
      <c r="J84" s="303"/>
      <c r="K84" s="303"/>
      <c r="L84" s="303"/>
      <c r="M84" s="303"/>
      <c r="N84" s="303"/>
      <c r="O84" s="303"/>
      <c r="P84" s="303"/>
      <c r="Q84" s="303"/>
      <c r="R84" s="303"/>
      <c r="S84" s="303"/>
      <c r="T84" s="303"/>
      <c r="U84" s="303"/>
      <c r="V84" s="304"/>
      <c r="W84" s="305">
        <f t="shared" si="10"/>
        <v>0</v>
      </c>
      <c r="X84" s="306">
        <f t="shared" si="11"/>
        <v>0</v>
      </c>
      <c r="Y84" s="306">
        <f t="shared" si="12"/>
        <v>0</v>
      </c>
      <c r="Z84" s="307">
        <f t="shared" si="13"/>
        <v>0</v>
      </c>
      <c r="AA84" s="291"/>
      <c r="AB84" s="201">
        <v>32</v>
      </c>
      <c r="AC84" s="63">
        <f t="shared" si="14"/>
        <v>0</v>
      </c>
      <c r="AD84" s="302"/>
      <c r="AE84" s="303"/>
      <c r="AF84" s="303"/>
      <c r="AG84" s="303"/>
      <c r="AH84" s="303"/>
      <c r="AI84" s="303"/>
      <c r="AJ84" s="303"/>
      <c r="AK84" s="303"/>
      <c r="AL84" s="303"/>
      <c r="AM84" s="303"/>
      <c r="AN84" s="303"/>
      <c r="AO84" s="303"/>
      <c r="AP84" s="303"/>
      <c r="AQ84" s="303"/>
      <c r="AR84" s="303"/>
      <c r="AS84" s="303"/>
      <c r="AT84" s="303"/>
      <c r="AU84" s="303"/>
      <c r="AV84" s="303"/>
      <c r="AW84" s="304"/>
      <c r="AX84" s="305">
        <f t="shared" si="15"/>
        <v>0</v>
      </c>
      <c r="AY84" s="306">
        <f t="shared" si="16"/>
        <v>0</v>
      </c>
      <c r="AZ84" s="306">
        <f t="shared" si="17"/>
        <v>0</v>
      </c>
      <c r="BA84" s="307">
        <f t="shared" si="18"/>
        <v>0</v>
      </c>
      <c r="BB84" s="291"/>
    </row>
    <row r="85" spans="1:54" ht="20.25" customHeight="1">
      <c r="A85" s="201">
        <v>33</v>
      </c>
      <c r="B85" s="63">
        <f t="shared" si="9"/>
        <v>0</v>
      </c>
      <c r="C85" s="302"/>
      <c r="D85" s="303"/>
      <c r="E85" s="303"/>
      <c r="F85" s="303"/>
      <c r="G85" s="303"/>
      <c r="H85" s="303"/>
      <c r="I85" s="303"/>
      <c r="J85" s="303"/>
      <c r="K85" s="303"/>
      <c r="L85" s="303"/>
      <c r="M85" s="303"/>
      <c r="N85" s="303"/>
      <c r="O85" s="303"/>
      <c r="P85" s="303"/>
      <c r="Q85" s="303"/>
      <c r="R85" s="303"/>
      <c r="S85" s="303"/>
      <c r="T85" s="303"/>
      <c r="U85" s="303"/>
      <c r="V85" s="304"/>
      <c r="W85" s="305">
        <f t="shared" si="10"/>
        <v>0</v>
      </c>
      <c r="X85" s="306">
        <f t="shared" si="11"/>
        <v>0</v>
      </c>
      <c r="Y85" s="306">
        <f t="shared" si="12"/>
        <v>0</v>
      </c>
      <c r="Z85" s="307">
        <f t="shared" si="13"/>
        <v>0</v>
      </c>
      <c r="AA85" s="291"/>
      <c r="AB85" s="201">
        <v>33</v>
      </c>
      <c r="AC85" s="63">
        <f t="shared" si="14"/>
        <v>0</v>
      </c>
      <c r="AD85" s="302"/>
      <c r="AE85" s="303"/>
      <c r="AF85" s="303"/>
      <c r="AG85" s="303"/>
      <c r="AH85" s="303"/>
      <c r="AI85" s="303"/>
      <c r="AJ85" s="303"/>
      <c r="AK85" s="303"/>
      <c r="AL85" s="303"/>
      <c r="AM85" s="303"/>
      <c r="AN85" s="303"/>
      <c r="AO85" s="303"/>
      <c r="AP85" s="303"/>
      <c r="AQ85" s="303"/>
      <c r="AR85" s="303"/>
      <c r="AS85" s="303"/>
      <c r="AT85" s="303"/>
      <c r="AU85" s="303"/>
      <c r="AV85" s="303"/>
      <c r="AW85" s="304"/>
      <c r="AX85" s="305">
        <f t="shared" si="15"/>
        <v>0</v>
      </c>
      <c r="AY85" s="306">
        <f t="shared" si="16"/>
        <v>0</v>
      </c>
      <c r="AZ85" s="306">
        <f t="shared" si="17"/>
        <v>0</v>
      </c>
      <c r="BA85" s="307">
        <f t="shared" si="18"/>
        <v>0</v>
      </c>
      <c r="BB85" s="291"/>
    </row>
    <row r="86" spans="1:54" ht="20.25" customHeight="1">
      <c r="A86" s="201">
        <v>34</v>
      </c>
      <c r="B86" s="63">
        <f t="shared" si="9"/>
        <v>0</v>
      </c>
      <c r="C86" s="302"/>
      <c r="D86" s="303"/>
      <c r="E86" s="303"/>
      <c r="F86" s="303"/>
      <c r="G86" s="303"/>
      <c r="H86" s="303"/>
      <c r="I86" s="303"/>
      <c r="J86" s="303"/>
      <c r="K86" s="303"/>
      <c r="L86" s="303"/>
      <c r="M86" s="303"/>
      <c r="N86" s="303"/>
      <c r="O86" s="303"/>
      <c r="P86" s="303"/>
      <c r="Q86" s="303"/>
      <c r="R86" s="303"/>
      <c r="S86" s="303"/>
      <c r="T86" s="303"/>
      <c r="U86" s="303"/>
      <c r="V86" s="304"/>
      <c r="W86" s="305">
        <f t="shared" si="10"/>
        <v>0</v>
      </c>
      <c r="X86" s="306">
        <f t="shared" si="11"/>
        <v>0</v>
      </c>
      <c r="Y86" s="306">
        <f t="shared" si="12"/>
        <v>0</v>
      </c>
      <c r="Z86" s="307">
        <f t="shared" si="13"/>
        <v>0</v>
      </c>
      <c r="AA86" s="291"/>
      <c r="AB86" s="201">
        <v>34</v>
      </c>
      <c r="AC86" s="63">
        <f t="shared" si="14"/>
        <v>0</v>
      </c>
      <c r="AD86" s="302"/>
      <c r="AE86" s="303"/>
      <c r="AF86" s="303"/>
      <c r="AG86" s="303"/>
      <c r="AH86" s="303"/>
      <c r="AI86" s="303"/>
      <c r="AJ86" s="303"/>
      <c r="AK86" s="303"/>
      <c r="AL86" s="303"/>
      <c r="AM86" s="303"/>
      <c r="AN86" s="303"/>
      <c r="AO86" s="303"/>
      <c r="AP86" s="303"/>
      <c r="AQ86" s="303"/>
      <c r="AR86" s="303"/>
      <c r="AS86" s="303"/>
      <c r="AT86" s="303"/>
      <c r="AU86" s="303"/>
      <c r="AV86" s="303"/>
      <c r="AW86" s="304"/>
      <c r="AX86" s="305">
        <f t="shared" si="15"/>
        <v>0</v>
      </c>
      <c r="AY86" s="306">
        <f t="shared" si="16"/>
        <v>0</v>
      </c>
      <c r="AZ86" s="306">
        <f t="shared" si="17"/>
        <v>0</v>
      </c>
      <c r="BA86" s="307">
        <f t="shared" si="18"/>
        <v>0</v>
      </c>
      <c r="BB86" s="291"/>
    </row>
    <row r="87" spans="1:54" ht="20.25" customHeight="1">
      <c r="A87" s="201">
        <v>35</v>
      </c>
      <c r="B87" s="64">
        <f t="shared" si="9"/>
        <v>0</v>
      </c>
      <c r="C87" s="308"/>
      <c r="D87" s="309"/>
      <c r="E87" s="309"/>
      <c r="F87" s="309"/>
      <c r="G87" s="309"/>
      <c r="H87" s="309"/>
      <c r="I87" s="309"/>
      <c r="J87" s="309"/>
      <c r="K87" s="309"/>
      <c r="L87" s="309"/>
      <c r="M87" s="309"/>
      <c r="N87" s="309"/>
      <c r="O87" s="309"/>
      <c r="P87" s="309"/>
      <c r="Q87" s="309"/>
      <c r="R87" s="309"/>
      <c r="S87" s="309"/>
      <c r="T87" s="309"/>
      <c r="U87" s="309"/>
      <c r="V87" s="310"/>
      <c r="W87" s="311">
        <f t="shared" si="10"/>
        <v>0</v>
      </c>
      <c r="X87" s="312">
        <f t="shared" si="11"/>
        <v>0</v>
      </c>
      <c r="Y87" s="312">
        <f t="shared" si="12"/>
        <v>0</v>
      </c>
      <c r="Z87" s="313">
        <f t="shared" si="13"/>
        <v>0</v>
      </c>
      <c r="AA87" s="291"/>
      <c r="AB87" s="201">
        <v>35</v>
      </c>
      <c r="AC87" s="64">
        <f t="shared" si="14"/>
        <v>0</v>
      </c>
      <c r="AD87" s="308"/>
      <c r="AE87" s="309"/>
      <c r="AF87" s="309"/>
      <c r="AG87" s="309"/>
      <c r="AH87" s="309"/>
      <c r="AI87" s="309"/>
      <c r="AJ87" s="309"/>
      <c r="AK87" s="309"/>
      <c r="AL87" s="309"/>
      <c r="AM87" s="309"/>
      <c r="AN87" s="309"/>
      <c r="AO87" s="309"/>
      <c r="AP87" s="309"/>
      <c r="AQ87" s="309"/>
      <c r="AR87" s="309"/>
      <c r="AS87" s="309"/>
      <c r="AT87" s="309"/>
      <c r="AU87" s="309"/>
      <c r="AV87" s="309"/>
      <c r="AW87" s="310"/>
      <c r="AX87" s="311">
        <f t="shared" si="15"/>
        <v>0</v>
      </c>
      <c r="AY87" s="312">
        <f t="shared" si="16"/>
        <v>0</v>
      </c>
      <c r="AZ87" s="312">
        <f t="shared" si="17"/>
        <v>0</v>
      </c>
      <c r="BA87" s="313">
        <f t="shared" si="18"/>
        <v>0</v>
      </c>
      <c r="BB87" s="291"/>
    </row>
    <row r="88" spans="1:54">
      <c r="A88" s="314"/>
      <c r="B88" s="292"/>
      <c r="C88" s="291"/>
      <c r="D88" s="291"/>
      <c r="E88" s="291"/>
      <c r="F88" s="291"/>
      <c r="G88" s="291"/>
      <c r="H88" s="291"/>
      <c r="I88" s="291"/>
      <c r="J88" s="291"/>
      <c r="K88" s="291"/>
      <c r="L88" s="291"/>
      <c r="M88" s="291"/>
      <c r="N88" s="291"/>
      <c r="O88" s="291"/>
      <c r="P88" s="291"/>
      <c r="Q88" s="291"/>
      <c r="R88" s="291"/>
      <c r="S88" s="291"/>
      <c r="T88" s="291"/>
      <c r="U88" s="291"/>
      <c r="V88" s="291"/>
      <c r="W88" s="291"/>
      <c r="X88" s="291"/>
      <c r="Y88" s="291"/>
      <c r="Z88" s="291"/>
      <c r="AA88" s="291"/>
      <c r="AB88" s="314"/>
      <c r="AC88" s="292"/>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row>
    <row r="89" spans="1:54" ht="18">
      <c r="A89" s="67" t="s">
        <v>178</v>
      </c>
      <c r="B89" s="375" t="s">
        <v>81</v>
      </c>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43"/>
      <c r="AB89" s="67" t="s">
        <v>178</v>
      </c>
      <c r="AC89" s="375" t="s">
        <v>81</v>
      </c>
      <c r="AD89" s="375"/>
      <c r="AE89" s="375"/>
      <c r="AF89" s="375"/>
      <c r="AG89" s="375"/>
      <c r="AH89" s="375"/>
      <c r="AI89" s="375"/>
      <c r="AJ89" s="375"/>
      <c r="AK89" s="375"/>
      <c r="AL89" s="375"/>
      <c r="AM89" s="375"/>
      <c r="AN89" s="375"/>
      <c r="AO89" s="375"/>
      <c r="AP89" s="375"/>
      <c r="AQ89" s="375"/>
      <c r="AR89" s="375"/>
      <c r="AS89" s="375"/>
      <c r="AT89" s="375"/>
      <c r="AU89" s="375"/>
      <c r="AV89" s="375"/>
      <c r="AW89" s="375"/>
      <c r="AX89" s="375"/>
      <c r="AY89" s="375"/>
      <c r="AZ89" s="375"/>
      <c r="BA89" s="375"/>
      <c r="BB89" s="291"/>
    </row>
    <row r="90" spans="1:54" ht="23.25">
      <c r="A90" s="51"/>
      <c r="B90" s="376" t="s">
        <v>82</v>
      </c>
      <c r="C90" s="376"/>
      <c r="D90" s="376"/>
      <c r="E90" s="376"/>
      <c r="F90" s="376"/>
      <c r="G90" s="376"/>
      <c r="H90" s="376"/>
      <c r="I90" s="376"/>
      <c r="J90" s="376"/>
      <c r="K90" s="376"/>
      <c r="L90" s="376"/>
      <c r="M90" s="376"/>
      <c r="N90" s="376"/>
      <c r="O90" s="376"/>
      <c r="P90" s="376"/>
      <c r="Q90" s="376"/>
      <c r="R90" s="376"/>
      <c r="S90" s="376"/>
      <c r="T90" s="376"/>
      <c r="U90" s="376"/>
      <c r="V90" s="376"/>
      <c r="W90" s="376"/>
      <c r="X90" s="376"/>
      <c r="Y90" s="376"/>
      <c r="Z90" s="376"/>
      <c r="AA90" s="43"/>
      <c r="AB90" s="51"/>
      <c r="AC90" s="376" t="s">
        <v>82</v>
      </c>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291"/>
    </row>
    <row r="91" spans="1:54" s="290" customFormat="1" ht="20.25" customHeight="1">
      <c r="A91" s="51"/>
      <c r="B91" s="200" t="str">
        <f>CONCATENATE("ધોરણ - ",SCHOOL!$D$2)</f>
        <v>ધોરણ - 6</v>
      </c>
      <c r="C91" s="387" t="s">
        <v>104</v>
      </c>
      <c r="D91" s="387"/>
      <c r="E91" s="387"/>
      <c r="F91" s="387"/>
      <c r="G91" s="387"/>
      <c r="H91" s="387"/>
      <c r="I91" s="387"/>
      <c r="J91" s="387"/>
      <c r="K91" s="387" t="s">
        <v>84</v>
      </c>
      <c r="L91" s="387"/>
      <c r="M91" s="387"/>
      <c r="N91" s="387"/>
      <c r="O91" s="387"/>
      <c r="P91" s="387"/>
      <c r="Q91" s="387"/>
      <c r="R91" s="387" t="s">
        <v>85</v>
      </c>
      <c r="S91" s="387"/>
      <c r="T91" s="387"/>
      <c r="U91" s="387"/>
      <c r="V91" s="387"/>
      <c r="W91" s="387"/>
      <c r="X91" s="387"/>
      <c r="Y91" s="387">
        <f>COUNTA(C94:V94)</f>
        <v>1</v>
      </c>
      <c r="Z91" s="387"/>
      <c r="AA91" s="65"/>
      <c r="AB91" s="51"/>
      <c r="AC91" s="200" t="str">
        <f>CONCATENATE("ધોરણ - ",SCHOOL!$D$2)</f>
        <v>ધોરણ - 6</v>
      </c>
      <c r="AD91" s="387" t="str">
        <f>C91</f>
        <v xml:space="preserve"> વિષય-વિજ્ઞાન &amp; ટેક્.</v>
      </c>
      <c r="AE91" s="387"/>
      <c r="AF91" s="387"/>
      <c r="AG91" s="387"/>
      <c r="AH91" s="387"/>
      <c r="AI91" s="387"/>
      <c r="AJ91" s="387"/>
      <c r="AK91" s="387"/>
      <c r="AL91" s="387" t="s">
        <v>102</v>
      </c>
      <c r="AM91" s="387"/>
      <c r="AN91" s="387"/>
      <c r="AO91" s="387"/>
      <c r="AP91" s="387"/>
      <c r="AQ91" s="387"/>
      <c r="AR91" s="387"/>
      <c r="AS91" s="387" t="s">
        <v>85</v>
      </c>
      <c r="AT91" s="387"/>
      <c r="AU91" s="387"/>
      <c r="AV91" s="387"/>
      <c r="AW91" s="387"/>
      <c r="AX91" s="387"/>
      <c r="AY91" s="387"/>
      <c r="AZ91" s="387">
        <f>COUNTA(AD94:AW94)</f>
        <v>1</v>
      </c>
      <c r="BA91" s="387"/>
      <c r="BB91" s="292"/>
    </row>
    <row r="92" spans="1:54" ht="18.75" customHeight="1">
      <c r="A92" s="384"/>
      <c r="B92" s="378" t="s">
        <v>86</v>
      </c>
      <c r="C92" s="379" t="s">
        <v>87</v>
      </c>
      <c r="D92" s="380"/>
      <c r="E92" s="380"/>
      <c r="F92" s="380"/>
      <c r="G92" s="380"/>
      <c r="H92" s="380"/>
      <c r="I92" s="380"/>
      <c r="J92" s="380"/>
      <c r="K92" s="380"/>
      <c r="L92" s="380"/>
      <c r="M92" s="380"/>
      <c r="N92" s="380"/>
      <c r="O92" s="380"/>
      <c r="P92" s="380"/>
      <c r="Q92" s="380"/>
      <c r="R92" s="380"/>
      <c r="S92" s="380"/>
      <c r="T92" s="380"/>
      <c r="U92" s="380"/>
      <c r="V92" s="381"/>
      <c r="W92" s="365" t="s">
        <v>88</v>
      </c>
      <c r="X92" s="366"/>
      <c r="Y92" s="367"/>
      <c r="Z92" s="371" t="s">
        <v>90</v>
      </c>
      <c r="AA92" s="291"/>
      <c r="AB92" s="384"/>
      <c r="AC92" s="378" t="s">
        <v>86</v>
      </c>
      <c r="AD92" s="379" t="s">
        <v>87</v>
      </c>
      <c r="AE92" s="380"/>
      <c r="AF92" s="380"/>
      <c r="AG92" s="380"/>
      <c r="AH92" s="380"/>
      <c r="AI92" s="380"/>
      <c r="AJ92" s="380"/>
      <c r="AK92" s="380"/>
      <c r="AL92" s="380"/>
      <c r="AM92" s="380"/>
      <c r="AN92" s="380"/>
      <c r="AO92" s="380"/>
      <c r="AP92" s="380"/>
      <c r="AQ92" s="380"/>
      <c r="AR92" s="380"/>
      <c r="AS92" s="380"/>
      <c r="AT92" s="380"/>
      <c r="AU92" s="380"/>
      <c r="AV92" s="380"/>
      <c r="AW92" s="381"/>
      <c r="AX92" s="365" t="s">
        <v>88</v>
      </c>
      <c r="AY92" s="366"/>
      <c r="AZ92" s="367"/>
      <c r="BA92" s="371" t="s">
        <v>90</v>
      </c>
      <c r="BB92" s="291"/>
    </row>
    <row r="93" spans="1:54" ht="15" customHeight="1">
      <c r="A93" s="385"/>
      <c r="B93" s="378"/>
      <c r="C93" s="45">
        <v>1</v>
      </c>
      <c r="D93" s="46">
        <v>2</v>
      </c>
      <c r="E93" s="46">
        <v>3</v>
      </c>
      <c r="F93" s="46">
        <v>4</v>
      </c>
      <c r="G93" s="46">
        <v>5</v>
      </c>
      <c r="H93" s="46">
        <v>6</v>
      </c>
      <c r="I93" s="46">
        <v>7</v>
      </c>
      <c r="J93" s="46">
        <v>8</v>
      </c>
      <c r="K93" s="46">
        <v>9</v>
      </c>
      <c r="L93" s="46">
        <v>10</v>
      </c>
      <c r="M93" s="46">
        <v>11</v>
      </c>
      <c r="N93" s="46">
        <v>12</v>
      </c>
      <c r="O93" s="46">
        <v>13</v>
      </c>
      <c r="P93" s="46">
        <v>14</v>
      </c>
      <c r="Q93" s="46">
        <v>15</v>
      </c>
      <c r="R93" s="46">
        <v>16</v>
      </c>
      <c r="S93" s="46">
        <v>17</v>
      </c>
      <c r="T93" s="46">
        <v>18</v>
      </c>
      <c r="U93" s="46">
        <v>19</v>
      </c>
      <c r="V93" s="47">
        <v>20</v>
      </c>
      <c r="W93" s="368"/>
      <c r="X93" s="369"/>
      <c r="Y93" s="370"/>
      <c r="Z93" s="382"/>
      <c r="AA93" s="291"/>
      <c r="AB93" s="385"/>
      <c r="AC93" s="378"/>
      <c r="AD93" s="45">
        <v>1</v>
      </c>
      <c r="AE93" s="46">
        <v>2</v>
      </c>
      <c r="AF93" s="46">
        <v>3</v>
      </c>
      <c r="AG93" s="46">
        <v>4</v>
      </c>
      <c r="AH93" s="46">
        <v>5</v>
      </c>
      <c r="AI93" s="46">
        <v>6</v>
      </c>
      <c r="AJ93" s="46">
        <v>7</v>
      </c>
      <c r="AK93" s="46">
        <v>8</v>
      </c>
      <c r="AL93" s="46">
        <v>9</v>
      </c>
      <c r="AM93" s="46">
        <v>10</v>
      </c>
      <c r="AN93" s="46">
        <v>11</v>
      </c>
      <c r="AO93" s="46">
        <v>12</v>
      </c>
      <c r="AP93" s="46">
        <v>13</v>
      </c>
      <c r="AQ93" s="46">
        <v>14</v>
      </c>
      <c r="AR93" s="46">
        <v>15</v>
      </c>
      <c r="AS93" s="46">
        <v>16</v>
      </c>
      <c r="AT93" s="46">
        <v>17</v>
      </c>
      <c r="AU93" s="46">
        <v>18</v>
      </c>
      <c r="AV93" s="46">
        <v>19</v>
      </c>
      <c r="AW93" s="47">
        <v>20</v>
      </c>
      <c r="AX93" s="368"/>
      <c r="AY93" s="369"/>
      <c r="AZ93" s="370"/>
      <c r="BA93" s="382"/>
      <c r="BB93" s="291"/>
    </row>
    <row r="94" spans="1:54" ht="45" customHeight="1">
      <c r="A94" s="386"/>
      <c r="B94" s="378"/>
      <c r="C94" s="293" t="s">
        <v>80</v>
      </c>
      <c r="D94" s="294"/>
      <c r="E94" s="294"/>
      <c r="F94" s="294"/>
      <c r="G94" s="294"/>
      <c r="H94" s="294"/>
      <c r="I94" s="294"/>
      <c r="J94" s="294"/>
      <c r="K94" s="294"/>
      <c r="L94" s="294"/>
      <c r="M94" s="294"/>
      <c r="N94" s="294"/>
      <c r="O94" s="294"/>
      <c r="P94" s="294"/>
      <c r="Q94" s="294"/>
      <c r="R94" s="294"/>
      <c r="S94" s="294"/>
      <c r="T94" s="294"/>
      <c r="U94" s="294"/>
      <c r="V94" s="295"/>
      <c r="W94" s="48" t="s">
        <v>91</v>
      </c>
      <c r="X94" s="49" t="s">
        <v>92</v>
      </c>
      <c r="Y94" s="50" t="s">
        <v>89</v>
      </c>
      <c r="Z94" s="383"/>
      <c r="AA94" s="291"/>
      <c r="AB94" s="386"/>
      <c r="AC94" s="378"/>
      <c r="AD94" s="293" t="s">
        <v>80</v>
      </c>
      <c r="AE94" s="294"/>
      <c r="AF94" s="294"/>
      <c r="AG94" s="294"/>
      <c r="AH94" s="294"/>
      <c r="AI94" s="294"/>
      <c r="AJ94" s="294"/>
      <c r="AK94" s="294"/>
      <c r="AL94" s="294"/>
      <c r="AM94" s="294"/>
      <c r="AN94" s="294"/>
      <c r="AO94" s="294"/>
      <c r="AP94" s="294"/>
      <c r="AQ94" s="294"/>
      <c r="AR94" s="294"/>
      <c r="AS94" s="294"/>
      <c r="AT94" s="294"/>
      <c r="AU94" s="294"/>
      <c r="AV94" s="294"/>
      <c r="AW94" s="295"/>
      <c r="AX94" s="48" t="s">
        <v>91</v>
      </c>
      <c r="AY94" s="49" t="s">
        <v>92</v>
      </c>
      <c r="AZ94" s="50" t="s">
        <v>89</v>
      </c>
      <c r="BA94" s="383"/>
      <c r="BB94" s="291"/>
    </row>
    <row r="95" spans="1:54" ht="20.25" customHeight="1">
      <c r="A95" s="201">
        <v>1</v>
      </c>
      <c r="B95" s="62" t="str">
        <f>B11</f>
        <v>ગોહેલ રાજેશભાઇ ચીથરભાઇ</v>
      </c>
      <c r="C95" s="296" t="s">
        <v>91</v>
      </c>
      <c r="D95" s="297"/>
      <c r="E95" s="297"/>
      <c r="F95" s="297"/>
      <c r="G95" s="297"/>
      <c r="H95" s="297"/>
      <c r="I95" s="297"/>
      <c r="J95" s="297"/>
      <c r="K95" s="297"/>
      <c r="L95" s="297"/>
      <c r="M95" s="297"/>
      <c r="N95" s="297"/>
      <c r="O95" s="297"/>
      <c r="P95" s="297"/>
      <c r="Q95" s="297"/>
      <c r="R95" s="297"/>
      <c r="S95" s="297"/>
      <c r="T95" s="297"/>
      <c r="U95" s="297"/>
      <c r="V95" s="298"/>
      <c r="W95" s="299">
        <f>COUNTIF(C95:V95,"√")</f>
        <v>1</v>
      </c>
      <c r="X95" s="300">
        <f>COUNTIF(C95:V95," ?")</f>
        <v>0</v>
      </c>
      <c r="Y95" s="300">
        <f>COUNTIF(C95:V95,"X")</f>
        <v>0</v>
      </c>
      <c r="Z95" s="301">
        <f>ROUND((40/$Y$91)*W95,0)</f>
        <v>40</v>
      </c>
      <c r="AA95" s="291"/>
      <c r="AB95" s="201">
        <v>1</v>
      </c>
      <c r="AC95" s="62" t="str">
        <f>B95</f>
        <v>ગોહેલ રાજેશભાઇ ચીથરભાઇ</v>
      </c>
      <c r="AD95" s="296" t="s">
        <v>91</v>
      </c>
      <c r="AE95" s="297"/>
      <c r="AF95" s="297"/>
      <c r="AG95" s="297"/>
      <c r="AH95" s="297"/>
      <c r="AI95" s="297"/>
      <c r="AJ95" s="297"/>
      <c r="AK95" s="297"/>
      <c r="AL95" s="297"/>
      <c r="AM95" s="297"/>
      <c r="AN95" s="297"/>
      <c r="AO95" s="297"/>
      <c r="AP95" s="297"/>
      <c r="AQ95" s="297"/>
      <c r="AR95" s="297"/>
      <c r="AS95" s="297"/>
      <c r="AT95" s="297"/>
      <c r="AU95" s="297"/>
      <c r="AV95" s="297"/>
      <c r="AW95" s="298"/>
      <c r="AX95" s="299">
        <f>COUNTIF(AD95:AW95,"√")</f>
        <v>1</v>
      </c>
      <c r="AY95" s="300">
        <f>COUNTIF(AD95:AW95," ?")</f>
        <v>0</v>
      </c>
      <c r="AZ95" s="300">
        <f>COUNTIF(AD95:AW95,"X")</f>
        <v>0</v>
      </c>
      <c r="BA95" s="301">
        <f>ROUND((40/$AZ$91)*AX95,0)</f>
        <v>40</v>
      </c>
      <c r="BB95" s="291"/>
    </row>
    <row r="96" spans="1:54" ht="20.25" customHeight="1">
      <c r="A96" s="201">
        <v>2</v>
      </c>
      <c r="B96" s="63" t="str">
        <f t="shared" ref="B96:B129" si="19">B12</f>
        <v>ખિમસુરીયા સાહિલકુમાર અરજણભાઇ</v>
      </c>
      <c r="C96" s="302" t="s">
        <v>91</v>
      </c>
      <c r="D96" s="303"/>
      <c r="E96" s="303"/>
      <c r="F96" s="303"/>
      <c r="G96" s="303"/>
      <c r="H96" s="303"/>
      <c r="I96" s="303"/>
      <c r="J96" s="303"/>
      <c r="K96" s="303"/>
      <c r="L96" s="303"/>
      <c r="M96" s="303"/>
      <c r="N96" s="303"/>
      <c r="O96" s="303"/>
      <c r="P96" s="303"/>
      <c r="Q96" s="303"/>
      <c r="R96" s="303"/>
      <c r="S96" s="303"/>
      <c r="T96" s="303"/>
      <c r="U96" s="303"/>
      <c r="V96" s="304"/>
      <c r="W96" s="305">
        <f t="shared" ref="W96:W129" si="20">COUNTIF(C96:V96,"√")</f>
        <v>1</v>
      </c>
      <c r="X96" s="306">
        <f t="shared" ref="X96:X129" si="21">COUNTIF(C96:V96," ?")</f>
        <v>0</v>
      </c>
      <c r="Y96" s="306">
        <f t="shared" ref="Y96:Y129" si="22">COUNTIF(C96:V96,"X")</f>
        <v>0</v>
      </c>
      <c r="Z96" s="307">
        <f t="shared" ref="Z96:Z129" si="23">ROUND((40/$Y$91)*W96,0)</f>
        <v>40</v>
      </c>
      <c r="AA96" s="291"/>
      <c r="AB96" s="201">
        <v>2</v>
      </c>
      <c r="AC96" s="63" t="str">
        <f t="shared" ref="AC96:AC129" si="24">B96</f>
        <v>ખિમસુરીયા સાહિલકુમાર અરજણભાઇ</v>
      </c>
      <c r="AD96" s="302" t="s">
        <v>91</v>
      </c>
      <c r="AE96" s="303"/>
      <c r="AF96" s="303"/>
      <c r="AG96" s="303"/>
      <c r="AH96" s="303"/>
      <c r="AI96" s="303"/>
      <c r="AJ96" s="303"/>
      <c r="AK96" s="303"/>
      <c r="AL96" s="303"/>
      <c r="AM96" s="303"/>
      <c r="AN96" s="303"/>
      <c r="AO96" s="303"/>
      <c r="AP96" s="303"/>
      <c r="AQ96" s="303"/>
      <c r="AR96" s="303"/>
      <c r="AS96" s="303"/>
      <c r="AT96" s="303"/>
      <c r="AU96" s="303"/>
      <c r="AV96" s="303"/>
      <c r="AW96" s="304"/>
      <c r="AX96" s="305">
        <f t="shared" ref="AX96:AX129" si="25">COUNTIF(AD96:AW96,"√")</f>
        <v>1</v>
      </c>
      <c r="AY96" s="306">
        <f t="shared" ref="AY96:AY129" si="26">COUNTIF(AD96:AW96," ?")</f>
        <v>0</v>
      </c>
      <c r="AZ96" s="306">
        <f t="shared" ref="AZ96:AZ129" si="27">COUNTIF(AD96:AW96,"X")</f>
        <v>0</v>
      </c>
      <c r="BA96" s="307">
        <f t="shared" ref="BA96:BA129" si="28">ROUND((40/$AZ$91)*AX96,0)</f>
        <v>40</v>
      </c>
      <c r="BB96" s="291"/>
    </row>
    <row r="97" spans="1:54" ht="20.25" customHeight="1">
      <c r="A97" s="201">
        <v>3</v>
      </c>
      <c r="B97" s="63" t="str">
        <f t="shared" si="19"/>
        <v>ગરણિયા મયુરકુમાર અશોકભાઇ</v>
      </c>
      <c r="C97" s="302" t="s">
        <v>91</v>
      </c>
      <c r="D97" s="303"/>
      <c r="E97" s="303"/>
      <c r="F97" s="303"/>
      <c r="G97" s="303"/>
      <c r="H97" s="303"/>
      <c r="I97" s="303"/>
      <c r="J97" s="303"/>
      <c r="K97" s="303"/>
      <c r="L97" s="303"/>
      <c r="M97" s="303"/>
      <c r="N97" s="303"/>
      <c r="O97" s="303"/>
      <c r="P97" s="303"/>
      <c r="Q97" s="303"/>
      <c r="R97" s="303"/>
      <c r="S97" s="303"/>
      <c r="T97" s="303"/>
      <c r="U97" s="303"/>
      <c r="V97" s="304"/>
      <c r="W97" s="305">
        <f t="shared" si="20"/>
        <v>1</v>
      </c>
      <c r="X97" s="306">
        <f t="shared" si="21"/>
        <v>0</v>
      </c>
      <c r="Y97" s="306">
        <f t="shared" si="22"/>
        <v>0</v>
      </c>
      <c r="Z97" s="307">
        <f t="shared" si="23"/>
        <v>40</v>
      </c>
      <c r="AA97" s="291"/>
      <c r="AB97" s="201">
        <v>3</v>
      </c>
      <c r="AC97" s="63" t="str">
        <f t="shared" si="24"/>
        <v>ગરણિયા મયુરકુમાર અશોકભાઇ</v>
      </c>
      <c r="AD97" s="302" t="s">
        <v>91</v>
      </c>
      <c r="AE97" s="303"/>
      <c r="AF97" s="303"/>
      <c r="AG97" s="303"/>
      <c r="AH97" s="303"/>
      <c r="AI97" s="303"/>
      <c r="AJ97" s="303"/>
      <c r="AK97" s="303"/>
      <c r="AL97" s="303"/>
      <c r="AM97" s="303"/>
      <c r="AN97" s="303"/>
      <c r="AO97" s="303"/>
      <c r="AP97" s="303"/>
      <c r="AQ97" s="303"/>
      <c r="AR97" s="303"/>
      <c r="AS97" s="303"/>
      <c r="AT97" s="303"/>
      <c r="AU97" s="303"/>
      <c r="AV97" s="303"/>
      <c r="AW97" s="304"/>
      <c r="AX97" s="305">
        <f t="shared" si="25"/>
        <v>1</v>
      </c>
      <c r="AY97" s="306">
        <f t="shared" si="26"/>
        <v>0</v>
      </c>
      <c r="AZ97" s="306">
        <f t="shared" si="27"/>
        <v>0</v>
      </c>
      <c r="BA97" s="307">
        <f t="shared" si="28"/>
        <v>40</v>
      </c>
      <c r="BB97" s="291"/>
    </row>
    <row r="98" spans="1:54" ht="20.25" customHeight="1">
      <c r="A98" s="201">
        <v>4</v>
      </c>
      <c r="B98" s="63" t="str">
        <f t="shared" si="19"/>
        <v>ગરણિયા અલ્પેશકુમાર મેરામભાઇ</v>
      </c>
      <c r="C98" s="302" t="s">
        <v>91</v>
      </c>
      <c r="D98" s="303"/>
      <c r="E98" s="303"/>
      <c r="F98" s="303"/>
      <c r="G98" s="303"/>
      <c r="H98" s="303"/>
      <c r="I98" s="303"/>
      <c r="J98" s="303"/>
      <c r="K98" s="303"/>
      <c r="L98" s="303"/>
      <c r="M98" s="303"/>
      <c r="N98" s="303"/>
      <c r="O98" s="303"/>
      <c r="P98" s="303"/>
      <c r="Q98" s="303"/>
      <c r="R98" s="303"/>
      <c r="S98" s="303"/>
      <c r="T98" s="303"/>
      <c r="U98" s="303"/>
      <c r="V98" s="304"/>
      <c r="W98" s="305">
        <f t="shared" si="20"/>
        <v>1</v>
      </c>
      <c r="X98" s="306">
        <f t="shared" si="21"/>
        <v>0</v>
      </c>
      <c r="Y98" s="306">
        <f t="shared" si="22"/>
        <v>0</v>
      </c>
      <c r="Z98" s="307">
        <f t="shared" si="23"/>
        <v>40</v>
      </c>
      <c r="AA98" s="291"/>
      <c r="AB98" s="201">
        <v>4</v>
      </c>
      <c r="AC98" s="63" t="str">
        <f t="shared" si="24"/>
        <v>ગરણિયા અલ્પેશકુમાર મેરામભાઇ</v>
      </c>
      <c r="AD98" s="302" t="s">
        <v>91</v>
      </c>
      <c r="AE98" s="303"/>
      <c r="AF98" s="303"/>
      <c r="AG98" s="303"/>
      <c r="AH98" s="303"/>
      <c r="AI98" s="303"/>
      <c r="AJ98" s="303"/>
      <c r="AK98" s="303"/>
      <c r="AL98" s="303"/>
      <c r="AM98" s="303"/>
      <c r="AN98" s="303"/>
      <c r="AO98" s="303"/>
      <c r="AP98" s="303"/>
      <c r="AQ98" s="303"/>
      <c r="AR98" s="303"/>
      <c r="AS98" s="303"/>
      <c r="AT98" s="303"/>
      <c r="AU98" s="303"/>
      <c r="AV98" s="303"/>
      <c r="AW98" s="304"/>
      <c r="AX98" s="305">
        <f t="shared" si="25"/>
        <v>1</v>
      </c>
      <c r="AY98" s="306">
        <f t="shared" si="26"/>
        <v>0</v>
      </c>
      <c r="AZ98" s="306">
        <f t="shared" si="27"/>
        <v>0</v>
      </c>
      <c r="BA98" s="307">
        <f t="shared" si="28"/>
        <v>40</v>
      </c>
      <c r="BB98" s="291"/>
    </row>
    <row r="99" spans="1:54" ht="20.25" customHeight="1">
      <c r="A99" s="201">
        <v>5</v>
      </c>
      <c r="B99" s="63" t="str">
        <f t="shared" si="19"/>
        <v>ગરણિયા મિલન પોપટભાઇ</v>
      </c>
      <c r="C99" s="302" t="s">
        <v>91</v>
      </c>
      <c r="D99" s="303"/>
      <c r="E99" s="303"/>
      <c r="F99" s="303"/>
      <c r="G99" s="303"/>
      <c r="H99" s="303"/>
      <c r="I99" s="303"/>
      <c r="J99" s="303"/>
      <c r="K99" s="303"/>
      <c r="L99" s="303"/>
      <c r="M99" s="303"/>
      <c r="N99" s="303"/>
      <c r="O99" s="303"/>
      <c r="P99" s="303"/>
      <c r="Q99" s="303"/>
      <c r="R99" s="303"/>
      <c r="S99" s="303"/>
      <c r="T99" s="303"/>
      <c r="U99" s="303"/>
      <c r="V99" s="304"/>
      <c r="W99" s="305">
        <f t="shared" si="20"/>
        <v>1</v>
      </c>
      <c r="X99" s="306">
        <f t="shared" si="21"/>
        <v>0</v>
      </c>
      <c r="Y99" s="306">
        <f t="shared" si="22"/>
        <v>0</v>
      </c>
      <c r="Z99" s="307">
        <f t="shared" si="23"/>
        <v>40</v>
      </c>
      <c r="AA99" s="291"/>
      <c r="AB99" s="201">
        <v>5</v>
      </c>
      <c r="AC99" s="63" t="str">
        <f t="shared" si="24"/>
        <v>ગરણિયા મિલન પોપટભાઇ</v>
      </c>
      <c r="AD99" s="302" t="s">
        <v>91</v>
      </c>
      <c r="AE99" s="303"/>
      <c r="AF99" s="303"/>
      <c r="AG99" s="303"/>
      <c r="AH99" s="303"/>
      <c r="AI99" s="303"/>
      <c r="AJ99" s="303"/>
      <c r="AK99" s="303"/>
      <c r="AL99" s="303"/>
      <c r="AM99" s="303"/>
      <c r="AN99" s="303"/>
      <c r="AO99" s="303"/>
      <c r="AP99" s="303"/>
      <c r="AQ99" s="303"/>
      <c r="AR99" s="303"/>
      <c r="AS99" s="303"/>
      <c r="AT99" s="303"/>
      <c r="AU99" s="303"/>
      <c r="AV99" s="303"/>
      <c r="AW99" s="304"/>
      <c r="AX99" s="305">
        <f t="shared" si="25"/>
        <v>1</v>
      </c>
      <c r="AY99" s="306">
        <f t="shared" si="26"/>
        <v>0</v>
      </c>
      <c r="AZ99" s="306">
        <f t="shared" si="27"/>
        <v>0</v>
      </c>
      <c r="BA99" s="307">
        <f t="shared" si="28"/>
        <v>40</v>
      </c>
      <c r="BB99" s="291"/>
    </row>
    <row r="100" spans="1:54" ht="20.25" customHeight="1">
      <c r="A100" s="201">
        <v>6</v>
      </c>
      <c r="B100" s="63" t="str">
        <f t="shared" si="19"/>
        <v>ગરણિયા મોહિત રાવતભાઇ</v>
      </c>
      <c r="C100" s="302" t="s">
        <v>91</v>
      </c>
      <c r="D100" s="303"/>
      <c r="E100" s="303"/>
      <c r="F100" s="303"/>
      <c r="G100" s="303"/>
      <c r="H100" s="303"/>
      <c r="I100" s="303"/>
      <c r="J100" s="303"/>
      <c r="K100" s="303"/>
      <c r="L100" s="303"/>
      <c r="M100" s="303"/>
      <c r="N100" s="303"/>
      <c r="O100" s="303"/>
      <c r="P100" s="303"/>
      <c r="Q100" s="303"/>
      <c r="R100" s="303"/>
      <c r="S100" s="303"/>
      <c r="T100" s="303"/>
      <c r="U100" s="303"/>
      <c r="V100" s="304"/>
      <c r="W100" s="305">
        <f t="shared" si="20"/>
        <v>1</v>
      </c>
      <c r="X100" s="306">
        <f t="shared" si="21"/>
        <v>0</v>
      </c>
      <c r="Y100" s="306">
        <f t="shared" si="22"/>
        <v>0</v>
      </c>
      <c r="Z100" s="307">
        <f t="shared" si="23"/>
        <v>40</v>
      </c>
      <c r="AA100" s="291"/>
      <c r="AB100" s="201">
        <v>6</v>
      </c>
      <c r="AC100" s="63" t="str">
        <f t="shared" si="24"/>
        <v>ગરણિયા મોહિત રાવતભાઇ</v>
      </c>
      <c r="AD100" s="302" t="s">
        <v>91</v>
      </c>
      <c r="AE100" s="303"/>
      <c r="AF100" s="303"/>
      <c r="AG100" s="303"/>
      <c r="AH100" s="303"/>
      <c r="AI100" s="303"/>
      <c r="AJ100" s="303"/>
      <c r="AK100" s="303"/>
      <c r="AL100" s="303"/>
      <c r="AM100" s="303"/>
      <c r="AN100" s="303"/>
      <c r="AO100" s="303"/>
      <c r="AP100" s="303"/>
      <c r="AQ100" s="303"/>
      <c r="AR100" s="303"/>
      <c r="AS100" s="303"/>
      <c r="AT100" s="303"/>
      <c r="AU100" s="303"/>
      <c r="AV100" s="303"/>
      <c r="AW100" s="304"/>
      <c r="AX100" s="305">
        <f t="shared" si="25"/>
        <v>1</v>
      </c>
      <c r="AY100" s="306">
        <f t="shared" si="26"/>
        <v>0</v>
      </c>
      <c r="AZ100" s="306">
        <f t="shared" si="27"/>
        <v>0</v>
      </c>
      <c r="BA100" s="307">
        <f t="shared" si="28"/>
        <v>40</v>
      </c>
      <c r="BB100" s="291"/>
    </row>
    <row r="101" spans="1:54" ht="20.25" customHeight="1">
      <c r="A101" s="201">
        <v>7</v>
      </c>
      <c r="B101" s="63" t="str">
        <f t="shared" si="19"/>
        <v>ગરણિયા સુમિત પોપટભાઇ</v>
      </c>
      <c r="C101" s="302" t="s">
        <v>91</v>
      </c>
      <c r="D101" s="303"/>
      <c r="E101" s="303"/>
      <c r="F101" s="303"/>
      <c r="G101" s="303"/>
      <c r="H101" s="303"/>
      <c r="I101" s="303"/>
      <c r="J101" s="303"/>
      <c r="K101" s="303"/>
      <c r="L101" s="303"/>
      <c r="M101" s="303"/>
      <c r="N101" s="303"/>
      <c r="O101" s="303"/>
      <c r="P101" s="303"/>
      <c r="Q101" s="303"/>
      <c r="R101" s="303"/>
      <c r="S101" s="303"/>
      <c r="T101" s="303"/>
      <c r="U101" s="303"/>
      <c r="V101" s="304"/>
      <c r="W101" s="305">
        <f t="shared" si="20"/>
        <v>1</v>
      </c>
      <c r="X101" s="306">
        <f t="shared" si="21"/>
        <v>0</v>
      </c>
      <c r="Y101" s="306">
        <f t="shared" si="22"/>
        <v>0</v>
      </c>
      <c r="Z101" s="307">
        <f t="shared" si="23"/>
        <v>40</v>
      </c>
      <c r="AA101" s="291"/>
      <c r="AB101" s="201">
        <v>7</v>
      </c>
      <c r="AC101" s="63" t="str">
        <f t="shared" si="24"/>
        <v>ગરણિયા સુમિત પોપટભાઇ</v>
      </c>
      <c r="AD101" s="302" t="s">
        <v>91</v>
      </c>
      <c r="AE101" s="303"/>
      <c r="AF101" s="303"/>
      <c r="AG101" s="303"/>
      <c r="AH101" s="303"/>
      <c r="AI101" s="303"/>
      <c r="AJ101" s="303"/>
      <c r="AK101" s="303"/>
      <c r="AL101" s="303"/>
      <c r="AM101" s="303"/>
      <c r="AN101" s="303"/>
      <c r="AO101" s="303"/>
      <c r="AP101" s="303"/>
      <c r="AQ101" s="303"/>
      <c r="AR101" s="303"/>
      <c r="AS101" s="303"/>
      <c r="AT101" s="303"/>
      <c r="AU101" s="303"/>
      <c r="AV101" s="303"/>
      <c r="AW101" s="304"/>
      <c r="AX101" s="305">
        <f t="shared" si="25"/>
        <v>1</v>
      </c>
      <c r="AY101" s="306">
        <f t="shared" si="26"/>
        <v>0</v>
      </c>
      <c r="AZ101" s="306">
        <f t="shared" si="27"/>
        <v>0</v>
      </c>
      <c r="BA101" s="307">
        <f t="shared" si="28"/>
        <v>40</v>
      </c>
      <c r="BB101" s="291"/>
    </row>
    <row r="102" spans="1:54" ht="20.25" customHeight="1">
      <c r="A102" s="201">
        <v>8</v>
      </c>
      <c r="B102" s="63" t="str">
        <f t="shared" si="19"/>
        <v>ગરણિયા રામકુભાઇ સાર્દૂળભાઇ</v>
      </c>
      <c r="C102" s="302" t="s">
        <v>91</v>
      </c>
      <c r="D102" s="303"/>
      <c r="E102" s="303"/>
      <c r="F102" s="303"/>
      <c r="G102" s="303"/>
      <c r="H102" s="303"/>
      <c r="I102" s="303"/>
      <c r="J102" s="303"/>
      <c r="K102" s="303"/>
      <c r="L102" s="303"/>
      <c r="M102" s="303"/>
      <c r="N102" s="303"/>
      <c r="O102" s="303"/>
      <c r="P102" s="303"/>
      <c r="Q102" s="303"/>
      <c r="R102" s="303"/>
      <c r="S102" s="303"/>
      <c r="T102" s="303"/>
      <c r="U102" s="303"/>
      <c r="V102" s="304"/>
      <c r="W102" s="305">
        <f t="shared" si="20"/>
        <v>1</v>
      </c>
      <c r="X102" s="306">
        <f t="shared" si="21"/>
        <v>0</v>
      </c>
      <c r="Y102" s="306">
        <f t="shared" si="22"/>
        <v>0</v>
      </c>
      <c r="Z102" s="307">
        <f t="shared" si="23"/>
        <v>40</v>
      </c>
      <c r="AA102" s="291"/>
      <c r="AB102" s="201">
        <v>8</v>
      </c>
      <c r="AC102" s="63" t="str">
        <f t="shared" si="24"/>
        <v>ગરણિયા રામકુભાઇ સાર્દૂળભાઇ</v>
      </c>
      <c r="AD102" s="302" t="s">
        <v>91</v>
      </c>
      <c r="AE102" s="303"/>
      <c r="AF102" s="303"/>
      <c r="AG102" s="303"/>
      <c r="AH102" s="303"/>
      <c r="AI102" s="303"/>
      <c r="AJ102" s="303"/>
      <c r="AK102" s="303"/>
      <c r="AL102" s="303"/>
      <c r="AM102" s="303"/>
      <c r="AN102" s="303"/>
      <c r="AO102" s="303"/>
      <c r="AP102" s="303"/>
      <c r="AQ102" s="303"/>
      <c r="AR102" s="303"/>
      <c r="AS102" s="303"/>
      <c r="AT102" s="303"/>
      <c r="AU102" s="303"/>
      <c r="AV102" s="303"/>
      <c r="AW102" s="304"/>
      <c r="AX102" s="305">
        <f t="shared" si="25"/>
        <v>1</v>
      </c>
      <c r="AY102" s="306">
        <f t="shared" si="26"/>
        <v>0</v>
      </c>
      <c r="AZ102" s="306">
        <f t="shared" si="27"/>
        <v>0</v>
      </c>
      <c r="BA102" s="307">
        <f t="shared" si="28"/>
        <v>40</v>
      </c>
      <c r="BB102" s="291"/>
    </row>
    <row r="103" spans="1:54" ht="20.25" customHeight="1">
      <c r="A103" s="201">
        <v>9</v>
      </c>
      <c r="B103" s="63" t="str">
        <f t="shared" si="19"/>
        <v>ડેર હિતેષકુમાર પ્રતાપભાઇ</v>
      </c>
      <c r="C103" s="302" t="s">
        <v>91</v>
      </c>
      <c r="D103" s="303"/>
      <c r="E103" s="303"/>
      <c r="F103" s="303"/>
      <c r="G103" s="303"/>
      <c r="H103" s="303"/>
      <c r="I103" s="303"/>
      <c r="J103" s="303"/>
      <c r="K103" s="303"/>
      <c r="L103" s="303"/>
      <c r="M103" s="303"/>
      <c r="N103" s="303"/>
      <c r="O103" s="303"/>
      <c r="P103" s="303"/>
      <c r="Q103" s="303"/>
      <c r="R103" s="303"/>
      <c r="S103" s="303"/>
      <c r="T103" s="303"/>
      <c r="U103" s="303"/>
      <c r="V103" s="304"/>
      <c r="W103" s="305">
        <f t="shared" si="20"/>
        <v>1</v>
      </c>
      <c r="X103" s="306">
        <f t="shared" si="21"/>
        <v>0</v>
      </c>
      <c r="Y103" s="306">
        <f t="shared" si="22"/>
        <v>0</v>
      </c>
      <c r="Z103" s="307">
        <f t="shared" si="23"/>
        <v>40</v>
      </c>
      <c r="AA103" s="291"/>
      <c r="AB103" s="201">
        <v>9</v>
      </c>
      <c r="AC103" s="63" t="str">
        <f t="shared" si="24"/>
        <v>ડેર હિતેષકુમાર પ્રતાપભાઇ</v>
      </c>
      <c r="AD103" s="302" t="s">
        <v>91</v>
      </c>
      <c r="AE103" s="303"/>
      <c r="AF103" s="303"/>
      <c r="AG103" s="303"/>
      <c r="AH103" s="303"/>
      <c r="AI103" s="303"/>
      <c r="AJ103" s="303"/>
      <c r="AK103" s="303"/>
      <c r="AL103" s="303"/>
      <c r="AM103" s="303"/>
      <c r="AN103" s="303"/>
      <c r="AO103" s="303"/>
      <c r="AP103" s="303"/>
      <c r="AQ103" s="303"/>
      <c r="AR103" s="303"/>
      <c r="AS103" s="303"/>
      <c r="AT103" s="303"/>
      <c r="AU103" s="303"/>
      <c r="AV103" s="303"/>
      <c r="AW103" s="304"/>
      <c r="AX103" s="305">
        <f t="shared" si="25"/>
        <v>1</v>
      </c>
      <c r="AY103" s="306">
        <f t="shared" si="26"/>
        <v>0</v>
      </c>
      <c r="AZ103" s="306">
        <f t="shared" si="27"/>
        <v>0</v>
      </c>
      <c r="BA103" s="307">
        <f t="shared" si="28"/>
        <v>40</v>
      </c>
      <c r="BB103" s="291"/>
    </row>
    <row r="104" spans="1:54" ht="20.25" customHeight="1">
      <c r="A104" s="201">
        <v>10</v>
      </c>
      <c r="B104" s="63" t="str">
        <f t="shared" si="19"/>
        <v>વેકરીયા વિશાલકુમાર દિપકભાઇ</v>
      </c>
      <c r="C104" s="302" t="s">
        <v>91</v>
      </c>
      <c r="D104" s="303"/>
      <c r="E104" s="303"/>
      <c r="F104" s="303"/>
      <c r="G104" s="303"/>
      <c r="H104" s="303"/>
      <c r="I104" s="303"/>
      <c r="J104" s="303"/>
      <c r="K104" s="303"/>
      <c r="L104" s="303"/>
      <c r="M104" s="303"/>
      <c r="N104" s="303"/>
      <c r="O104" s="303"/>
      <c r="P104" s="303"/>
      <c r="Q104" s="303"/>
      <c r="R104" s="303"/>
      <c r="S104" s="303"/>
      <c r="T104" s="303"/>
      <c r="U104" s="303"/>
      <c r="V104" s="304"/>
      <c r="W104" s="305">
        <f t="shared" si="20"/>
        <v>1</v>
      </c>
      <c r="X104" s="306">
        <f t="shared" si="21"/>
        <v>0</v>
      </c>
      <c r="Y104" s="306">
        <f t="shared" si="22"/>
        <v>0</v>
      </c>
      <c r="Z104" s="307">
        <f t="shared" si="23"/>
        <v>40</v>
      </c>
      <c r="AA104" s="291"/>
      <c r="AB104" s="201">
        <v>10</v>
      </c>
      <c r="AC104" s="63" t="str">
        <f t="shared" si="24"/>
        <v>વેકરીયા વિશાલકુમાર દિપકભાઇ</v>
      </c>
      <c r="AD104" s="302" t="s">
        <v>91</v>
      </c>
      <c r="AE104" s="303"/>
      <c r="AF104" s="303"/>
      <c r="AG104" s="303"/>
      <c r="AH104" s="303"/>
      <c r="AI104" s="303"/>
      <c r="AJ104" s="303"/>
      <c r="AK104" s="303"/>
      <c r="AL104" s="303"/>
      <c r="AM104" s="303"/>
      <c r="AN104" s="303"/>
      <c r="AO104" s="303"/>
      <c r="AP104" s="303"/>
      <c r="AQ104" s="303"/>
      <c r="AR104" s="303"/>
      <c r="AS104" s="303"/>
      <c r="AT104" s="303"/>
      <c r="AU104" s="303"/>
      <c r="AV104" s="303"/>
      <c r="AW104" s="304"/>
      <c r="AX104" s="305">
        <f t="shared" si="25"/>
        <v>1</v>
      </c>
      <c r="AY104" s="306">
        <f t="shared" si="26"/>
        <v>0</v>
      </c>
      <c r="AZ104" s="306">
        <f t="shared" si="27"/>
        <v>0</v>
      </c>
      <c r="BA104" s="307">
        <f t="shared" si="28"/>
        <v>40</v>
      </c>
      <c r="BB104" s="291"/>
    </row>
    <row r="105" spans="1:54" ht="20.25" customHeight="1">
      <c r="A105" s="201">
        <v>11</v>
      </c>
      <c r="B105" s="63" t="str">
        <f t="shared" si="19"/>
        <v>માણસુરીયા મહેન્દ્રભાઇ ભૂપતભાઇ</v>
      </c>
      <c r="C105" s="302" t="s">
        <v>91</v>
      </c>
      <c r="D105" s="303"/>
      <c r="E105" s="303"/>
      <c r="F105" s="303"/>
      <c r="G105" s="303"/>
      <c r="H105" s="303"/>
      <c r="I105" s="303"/>
      <c r="J105" s="303"/>
      <c r="K105" s="303"/>
      <c r="L105" s="303"/>
      <c r="M105" s="303"/>
      <c r="N105" s="303"/>
      <c r="O105" s="303"/>
      <c r="P105" s="303"/>
      <c r="Q105" s="303"/>
      <c r="R105" s="303"/>
      <c r="S105" s="303"/>
      <c r="T105" s="303"/>
      <c r="U105" s="303"/>
      <c r="V105" s="304"/>
      <c r="W105" s="305">
        <f t="shared" si="20"/>
        <v>1</v>
      </c>
      <c r="X105" s="306">
        <f t="shared" si="21"/>
        <v>0</v>
      </c>
      <c r="Y105" s="306">
        <f t="shared" si="22"/>
        <v>0</v>
      </c>
      <c r="Z105" s="307">
        <f t="shared" si="23"/>
        <v>40</v>
      </c>
      <c r="AA105" s="291"/>
      <c r="AB105" s="201">
        <v>11</v>
      </c>
      <c r="AC105" s="63" t="str">
        <f t="shared" si="24"/>
        <v>માણસુરીયા મહેન્દ્રભાઇ ભૂપતભાઇ</v>
      </c>
      <c r="AD105" s="302" t="s">
        <v>91</v>
      </c>
      <c r="AE105" s="303"/>
      <c r="AF105" s="303"/>
      <c r="AG105" s="303"/>
      <c r="AH105" s="303"/>
      <c r="AI105" s="303"/>
      <c r="AJ105" s="303"/>
      <c r="AK105" s="303"/>
      <c r="AL105" s="303"/>
      <c r="AM105" s="303"/>
      <c r="AN105" s="303"/>
      <c r="AO105" s="303"/>
      <c r="AP105" s="303"/>
      <c r="AQ105" s="303"/>
      <c r="AR105" s="303"/>
      <c r="AS105" s="303"/>
      <c r="AT105" s="303"/>
      <c r="AU105" s="303"/>
      <c r="AV105" s="303"/>
      <c r="AW105" s="304"/>
      <c r="AX105" s="305">
        <f t="shared" si="25"/>
        <v>1</v>
      </c>
      <c r="AY105" s="306">
        <f t="shared" si="26"/>
        <v>0</v>
      </c>
      <c r="AZ105" s="306">
        <f t="shared" si="27"/>
        <v>0</v>
      </c>
      <c r="BA105" s="307">
        <f t="shared" si="28"/>
        <v>40</v>
      </c>
      <c r="BB105" s="291"/>
    </row>
    <row r="106" spans="1:54" ht="20.25" customHeight="1">
      <c r="A106" s="201">
        <v>12</v>
      </c>
      <c r="B106" s="63" t="str">
        <f t="shared" si="19"/>
        <v>પરમાર અજયકુમાર રમેશભાઇ</v>
      </c>
      <c r="C106" s="302" t="s">
        <v>91</v>
      </c>
      <c r="D106" s="303"/>
      <c r="E106" s="303"/>
      <c r="F106" s="303"/>
      <c r="G106" s="303"/>
      <c r="H106" s="303"/>
      <c r="I106" s="303"/>
      <c r="J106" s="303"/>
      <c r="K106" s="303"/>
      <c r="L106" s="303"/>
      <c r="M106" s="303"/>
      <c r="N106" s="303"/>
      <c r="O106" s="303"/>
      <c r="P106" s="303"/>
      <c r="Q106" s="303"/>
      <c r="R106" s="303"/>
      <c r="S106" s="303"/>
      <c r="T106" s="303"/>
      <c r="U106" s="303"/>
      <c r="V106" s="304"/>
      <c r="W106" s="305">
        <f t="shared" si="20"/>
        <v>1</v>
      </c>
      <c r="X106" s="306">
        <f t="shared" si="21"/>
        <v>0</v>
      </c>
      <c r="Y106" s="306">
        <f t="shared" si="22"/>
        <v>0</v>
      </c>
      <c r="Z106" s="307">
        <f t="shared" si="23"/>
        <v>40</v>
      </c>
      <c r="AA106" s="291"/>
      <c r="AB106" s="201">
        <v>12</v>
      </c>
      <c r="AC106" s="63" t="str">
        <f t="shared" si="24"/>
        <v>પરમાર અજયકુમાર રમેશભાઇ</v>
      </c>
      <c r="AD106" s="302" t="s">
        <v>91</v>
      </c>
      <c r="AE106" s="303"/>
      <c r="AF106" s="303"/>
      <c r="AG106" s="303"/>
      <c r="AH106" s="303"/>
      <c r="AI106" s="303"/>
      <c r="AJ106" s="303"/>
      <c r="AK106" s="303"/>
      <c r="AL106" s="303"/>
      <c r="AM106" s="303"/>
      <c r="AN106" s="303"/>
      <c r="AO106" s="303"/>
      <c r="AP106" s="303"/>
      <c r="AQ106" s="303"/>
      <c r="AR106" s="303"/>
      <c r="AS106" s="303"/>
      <c r="AT106" s="303"/>
      <c r="AU106" s="303"/>
      <c r="AV106" s="303"/>
      <c r="AW106" s="304"/>
      <c r="AX106" s="305">
        <f t="shared" si="25"/>
        <v>1</v>
      </c>
      <c r="AY106" s="306">
        <f t="shared" si="26"/>
        <v>0</v>
      </c>
      <c r="AZ106" s="306">
        <f t="shared" si="27"/>
        <v>0</v>
      </c>
      <c r="BA106" s="307">
        <f t="shared" si="28"/>
        <v>40</v>
      </c>
      <c r="BB106" s="291"/>
    </row>
    <row r="107" spans="1:54" ht="20.25" customHeight="1">
      <c r="A107" s="201">
        <v>13</v>
      </c>
      <c r="B107" s="63" t="str">
        <f t="shared" si="19"/>
        <v>કંડોળીયા અલ્પેશકુમાર ભરતભાઇ</v>
      </c>
      <c r="C107" s="302" t="s">
        <v>92</v>
      </c>
      <c r="D107" s="303"/>
      <c r="E107" s="303"/>
      <c r="F107" s="303"/>
      <c r="G107" s="303"/>
      <c r="H107" s="303"/>
      <c r="I107" s="303"/>
      <c r="J107" s="303"/>
      <c r="K107" s="303"/>
      <c r="L107" s="303"/>
      <c r="M107" s="303"/>
      <c r="N107" s="303"/>
      <c r="O107" s="303"/>
      <c r="P107" s="303"/>
      <c r="Q107" s="303"/>
      <c r="R107" s="303"/>
      <c r="S107" s="303"/>
      <c r="T107" s="303"/>
      <c r="U107" s="303"/>
      <c r="V107" s="304"/>
      <c r="W107" s="305">
        <f t="shared" si="20"/>
        <v>0</v>
      </c>
      <c r="X107" s="306">
        <f t="shared" si="21"/>
        <v>1</v>
      </c>
      <c r="Y107" s="306">
        <f t="shared" si="22"/>
        <v>0</v>
      </c>
      <c r="Z107" s="307">
        <f t="shared" si="23"/>
        <v>0</v>
      </c>
      <c r="AA107" s="291"/>
      <c r="AB107" s="201">
        <v>13</v>
      </c>
      <c r="AC107" s="63" t="str">
        <f t="shared" si="24"/>
        <v>કંડોળીયા અલ્પેશકુમાર ભરતભાઇ</v>
      </c>
      <c r="AD107" s="302" t="s">
        <v>92</v>
      </c>
      <c r="AE107" s="303"/>
      <c r="AF107" s="303"/>
      <c r="AG107" s="303"/>
      <c r="AH107" s="303"/>
      <c r="AI107" s="303"/>
      <c r="AJ107" s="303"/>
      <c r="AK107" s="303"/>
      <c r="AL107" s="303"/>
      <c r="AM107" s="303"/>
      <c r="AN107" s="303"/>
      <c r="AO107" s="303"/>
      <c r="AP107" s="303"/>
      <c r="AQ107" s="303"/>
      <c r="AR107" s="303"/>
      <c r="AS107" s="303"/>
      <c r="AT107" s="303"/>
      <c r="AU107" s="303"/>
      <c r="AV107" s="303"/>
      <c r="AW107" s="304"/>
      <c r="AX107" s="305">
        <f t="shared" si="25"/>
        <v>0</v>
      </c>
      <c r="AY107" s="306">
        <f t="shared" si="26"/>
        <v>1</v>
      </c>
      <c r="AZ107" s="306">
        <f t="shared" si="27"/>
        <v>0</v>
      </c>
      <c r="BA107" s="307">
        <f t="shared" si="28"/>
        <v>0</v>
      </c>
      <c r="BB107" s="291"/>
    </row>
    <row r="108" spans="1:54" ht="20.25" customHeight="1">
      <c r="A108" s="201">
        <v>14</v>
      </c>
      <c r="B108" s="63" t="str">
        <f t="shared" si="19"/>
        <v>મકવાણા તરંગકુમાર કિશોરભાઇ</v>
      </c>
      <c r="C108" s="302" t="s">
        <v>91</v>
      </c>
      <c r="D108" s="303"/>
      <c r="E108" s="303"/>
      <c r="F108" s="303"/>
      <c r="G108" s="303"/>
      <c r="H108" s="303"/>
      <c r="I108" s="303"/>
      <c r="J108" s="303"/>
      <c r="K108" s="303"/>
      <c r="L108" s="303"/>
      <c r="M108" s="303"/>
      <c r="N108" s="303"/>
      <c r="O108" s="303"/>
      <c r="P108" s="303"/>
      <c r="Q108" s="303"/>
      <c r="R108" s="303"/>
      <c r="S108" s="303"/>
      <c r="T108" s="303"/>
      <c r="U108" s="303"/>
      <c r="V108" s="304"/>
      <c r="W108" s="305">
        <f t="shared" si="20"/>
        <v>1</v>
      </c>
      <c r="X108" s="306">
        <f t="shared" si="21"/>
        <v>0</v>
      </c>
      <c r="Y108" s="306">
        <f t="shared" si="22"/>
        <v>0</v>
      </c>
      <c r="Z108" s="307">
        <f t="shared" si="23"/>
        <v>40</v>
      </c>
      <c r="AA108" s="291"/>
      <c r="AB108" s="201">
        <v>14</v>
      </c>
      <c r="AC108" s="63" t="str">
        <f t="shared" si="24"/>
        <v>મકવાણા તરંગકુમાર કિશોરભાઇ</v>
      </c>
      <c r="AD108" s="302" t="s">
        <v>91</v>
      </c>
      <c r="AE108" s="303"/>
      <c r="AF108" s="303"/>
      <c r="AG108" s="303"/>
      <c r="AH108" s="303"/>
      <c r="AI108" s="303"/>
      <c r="AJ108" s="303"/>
      <c r="AK108" s="303"/>
      <c r="AL108" s="303"/>
      <c r="AM108" s="303"/>
      <c r="AN108" s="303"/>
      <c r="AO108" s="303"/>
      <c r="AP108" s="303"/>
      <c r="AQ108" s="303"/>
      <c r="AR108" s="303"/>
      <c r="AS108" s="303"/>
      <c r="AT108" s="303"/>
      <c r="AU108" s="303"/>
      <c r="AV108" s="303"/>
      <c r="AW108" s="304"/>
      <c r="AX108" s="305">
        <f t="shared" si="25"/>
        <v>1</v>
      </c>
      <c r="AY108" s="306">
        <f t="shared" si="26"/>
        <v>0</v>
      </c>
      <c r="AZ108" s="306">
        <f t="shared" si="27"/>
        <v>0</v>
      </c>
      <c r="BA108" s="307">
        <f t="shared" si="28"/>
        <v>40</v>
      </c>
      <c r="BB108" s="291"/>
    </row>
    <row r="109" spans="1:54" ht="20.25" customHeight="1">
      <c r="A109" s="201">
        <v>15</v>
      </c>
      <c r="B109" s="63" t="str">
        <f t="shared" si="19"/>
        <v>ઢીમેચા સતીષ હનુભાઇ</v>
      </c>
      <c r="C109" s="302" t="s">
        <v>91</v>
      </c>
      <c r="D109" s="303"/>
      <c r="E109" s="303"/>
      <c r="F109" s="303"/>
      <c r="G109" s="303"/>
      <c r="H109" s="303"/>
      <c r="I109" s="303"/>
      <c r="J109" s="303"/>
      <c r="K109" s="303"/>
      <c r="L109" s="303"/>
      <c r="M109" s="303"/>
      <c r="N109" s="303"/>
      <c r="O109" s="303"/>
      <c r="P109" s="303"/>
      <c r="Q109" s="303"/>
      <c r="R109" s="303"/>
      <c r="S109" s="303"/>
      <c r="T109" s="303"/>
      <c r="U109" s="303"/>
      <c r="V109" s="304"/>
      <c r="W109" s="305">
        <f t="shared" si="20"/>
        <v>1</v>
      </c>
      <c r="X109" s="306">
        <f t="shared" si="21"/>
        <v>0</v>
      </c>
      <c r="Y109" s="306">
        <f t="shared" si="22"/>
        <v>0</v>
      </c>
      <c r="Z109" s="307">
        <f t="shared" si="23"/>
        <v>40</v>
      </c>
      <c r="AA109" s="291"/>
      <c r="AB109" s="201">
        <v>15</v>
      </c>
      <c r="AC109" s="63" t="str">
        <f t="shared" si="24"/>
        <v>ઢીમેચા સતીષ હનુભાઇ</v>
      </c>
      <c r="AD109" s="302" t="s">
        <v>91</v>
      </c>
      <c r="AE109" s="303"/>
      <c r="AF109" s="303"/>
      <c r="AG109" s="303"/>
      <c r="AH109" s="303"/>
      <c r="AI109" s="303"/>
      <c r="AJ109" s="303"/>
      <c r="AK109" s="303"/>
      <c r="AL109" s="303"/>
      <c r="AM109" s="303"/>
      <c r="AN109" s="303"/>
      <c r="AO109" s="303"/>
      <c r="AP109" s="303"/>
      <c r="AQ109" s="303"/>
      <c r="AR109" s="303"/>
      <c r="AS109" s="303"/>
      <c r="AT109" s="303"/>
      <c r="AU109" s="303"/>
      <c r="AV109" s="303"/>
      <c r="AW109" s="304"/>
      <c r="AX109" s="305">
        <f t="shared" si="25"/>
        <v>1</v>
      </c>
      <c r="AY109" s="306">
        <f t="shared" si="26"/>
        <v>0</v>
      </c>
      <c r="AZ109" s="306">
        <f t="shared" si="27"/>
        <v>0</v>
      </c>
      <c r="BA109" s="307">
        <f t="shared" si="28"/>
        <v>40</v>
      </c>
      <c r="BB109" s="291"/>
    </row>
    <row r="110" spans="1:54" ht="20.25" customHeight="1">
      <c r="A110" s="201">
        <v>16</v>
      </c>
      <c r="B110" s="63" t="str">
        <f t="shared" si="19"/>
        <v>ખુમાણ શિવરાજભાઇ બાબુભાઇ</v>
      </c>
      <c r="C110" s="302" t="s">
        <v>91</v>
      </c>
      <c r="D110" s="303"/>
      <c r="E110" s="303"/>
      <c r="F110" s="303"/>
      <c r="G110" s="303"/>
      <c r="H110" s="303"/>
      <c r="I110" s="303"/>
      <c r="J110" s="303"/>
      <c r="K110" s="303"/>
      <c r="L110" s="303"/>
      <c r="M110" s="303"/>
      <c r="N110" s="303"/>
      <c r="O110" s="303"/>
      <c r="P110" s="303"/>
      <c r="Q110" s="303"/>
      <c r="R110" s="303"/>
      <c r="S110" s="303"/>
      <c r="T110" s="303"/>
      <c r="U110" s="303"/>
      <c r="V110" s="304"/>
      <c r="W110" s="305">
        <f t="shared" si="20"/>
        <v>1</v>
      </c>
      <c r="X110" s="306">
        <f t="shared" si="21"/>
        <v>0</v>
      </c>
      <c r="Y110" s="306">
        <f t="shared" si="22"/>
        <v>0</v>
      </c>
      <c r="Z110" s="307">
        <f t="shared" si="23"/>
        <v>40</v>
      </c>
      <c r="AA110" s="291"/>
      <c r="AB110" s="201">
        <v>16</v>
      </c>
      <c r="AC110" s="63" t="str">
        <f t="shared" si="24"/>
        <v>ખુમાણ શિવરાજભાઇ બાબુભાઇ</v>
      </c>
      <c r="AD110" s="302" t="s">
        <v>91</v>
      </c>
      <c r="AE110" s="303"/>
      <c r="AF110" s="303"/>
      <c r="AG110" s="303"/>
      <c r="AH110" s="303"/>
      <c r="AI110" s="303"/>
      <c r="AJ110" s="303"/>
      <c r="AK110" s="303"/>
      <c r="AL110" s="303"/>
      <c r="AM110" s="303"/>
      <c r="AN110" s="303"/>
      <c r="AO110" s="303"/>
      <c r="AP110" s="303"/>
      <c r="AQ110" s="303"/>
      <c r="AR110" s="303"/>
      <c r="AS110" s="303"/>
      <c r="AT110" s="303"/>
      <c r="AU110" s="303"/>
      <c r="AV110" s="303"/>
      <c r="AW110" s="304"/>
      <c r="AX110" s="305">
        <f t="shared" si="25"/>
        <v>1</v>
      </c>
      <c r="AY110" s="306">
        <f t="shared" si="26"/>
        <v>0</v>
      </c>
      <c r="AZ110" s="306">
        <f t="shared" si="27"/>
        <v>0</v>
      </c>
      <c r="BA110" s="307">
        <f t="shared" si="28"/>
        <v>40</v>
      </c>
      <c r="BB110" s="291"/>
    </row>
    <row r="111" spans="1:54" ht="20.25" customHeight="1">
      <c r="A111" s="201">
        <v>17</v>
      </c>
      <c r="B111" s="63" t="str">
        <f t="shared" si="19"/>
        <v>માથાસુરીયા દિનેશભાઇ અમરાભાઇ</v>
      </c>
      <c r="C111" s="302" t="s">
        <v>91</v>
      </c>
      <c r="D111" s="303"/>
      <c r="E111" s="303"/>
      <c r="F111" s="303"/>
      <c r="G111" s="303"/>
      <c r="H111" s="303"/>
      <c r="I111" s="303"/>
      <c r="J111" s="303"/>
      <c r="K111" s="303"/>
      <c r="L111" s="303"/>
      <c r="M111" s="303"/>
      <c r="N111" s="303"/>
      <c r="O111" s="303"/>
      <c r="P111" s="303"/>
      <c r="Q111" s="303"/>
      <c r="R111" s="303"/>
      <c r="S111" s="303"/>
      <c r="T111" s="303"/>
      <c r="U111" s="303"/>
      <c r="V111" s="304"/>
      <c r="W111" s="305">
        <f t="shared" si="20"/>
        <v>1</v>
      </c>
      <c r="X111" s="306">
        <f t="shared" si="21"/>
        <v>0</v>
      </c>
      <c r="Y111" s="306">
        <f t="shared" si="22"/>
        <v>0</v>
      </c>
      <c r="Z111" s="307">
        <f t="shared" si="23"/>
        <v>40</v>
      </c>
      <c r="AA111" s="291"/>
      <c r="AB111" s="201">
        <v>17</v>
      </c>
      <c r="AC111" s="63" t="str">
        <f t="shared" si="24"/>
        <v>માથાસુરીયા દિનેશભાઇ અમરાભાઇ</v>
      </c>
      <c r="AD111" s="302" t="s">
        <v>91</v>
      </c>
      <c r="AE111" s="303"/>
      <c r="AF111" s="303"/>
      <c r="AG111" s="303"/>
      <c r="AH111" s="303"/>
      <c r="AI111" s="303"/>
      <c r="AJ111" s="303"/>
      <c r="AK111" s="303"/>
      <c r="AL111" s="303"/>
      <c r="AM111" s="303"/>
      <c r="AN111" s="303"/>
      <c r="AO111" s="303"/>
      <c r="AP111" s="303"/>
      <c r="AQ111" s="303"/>
      <c r="AR111" s="303"/>
      <c r="AS111" s="303"/>
      <c r="AT111" s="303"/>
      <c r="AU111" s="303"/>
      <c r="AV111" s="303"/>
      <c r="AW111" s="304"/>
      <c r="AX111" s="305">
        <f t="shared" si="25"/>
        <v>1</v>
      </c>
      <c r="AY111" s="306">
        <f t="shared" si="26"/>
        <v>0</v>
      </c>
      <c r="AZ111" s="306">
        <f t="shared" si="27"/>
        <v>0</v>
      </c>
      <c r="BA111" s="307">
        <f t="shared" si="28"/>
        <v>40</v>
      </c>
      <c r="BB111" s="291"/>
    </row>
    <row r="112" spans="1:54" ht="20.25" customHeight="1">
      <c r="A112" s="201">
        <v>18</v>
      </c>
      <c r="B112" s="63" t="str">
        <f t="shared" si="19"/>
        <v>વાઘેલા હરેશ જીલુભાઇ</v>
      </c>
      <c r="C112" s="302" t="s">
        <v>91</v>
      </c>
      <c r="D112" s="303"/>
      <c r="E112" s="303"/>
      <c r="F112" s="303"/>
      <c r="G112" s="303"/>
      <c r="H112" s="303"/>
      <c r="I112" s="303"/>
      <c r="J112" s="303"/>
      <c r="K112" s="303"/>
      <c r="L112" s="303"/>
      <c r="M112" s="303"/>
      <c r="N112" s="303"/>
      <c r="O112" s="303"/>
      <c r="P112" s="303"/>
      <c r="Q112" s="303"/>
      <c r="R112" s="303"/>
      <c r="S112" s="303"/>
      <c r="T112" s="303"/>
      <c r="U112" s="303"/>
      <c r="V112" s="304"/>
      <c r="W112" s="305">
        <f t="shared" si="20"/>
        <v>1</v>
      </c>
      <c r="X112" s="306">
        <f t="shared" si="21"/>
        <v>0</v>
      </c>
      <c r="Y112" s="306">
        <f t="shared" si="22"/>
        <v>0</v>
      </c>
      <c r="Z112" s="307">
        <f t="shared" si="23"/>
        <v>40</v>
      </c>
      <c r="AA112" s="291"/>
      <c r="AB112" s="201">
        <v>18</v>
      </c>
      <c r="AC112" s="63" t="str">
        <f t="shared" si="24"/>
        <v>વાઘેલા હરેશ જીલુભાઇ</v>
      </c>
      <c r="AD112" s="302" t="s">
        <v>91</v>
      </c>
      <c r="AE112" s="303"/>
      <c r="AF112" s="303"/>
      <c r="AG112" s="303"/>
      <c r="AH112" s="303"/>
      <c r="AI112" s="303"/>
      <c r="AJ112" s="303"/>
      <c r="AK112" s="303"/>
      <c r="AL112" s="303"/>
      <c r="AM112" s="303"/>
      <c r="AN112" s="303"/>
      <c r="AO112" s="303"/>
      <c r="AP112" s="303"/>
      <c r="AQ112" s="303"/>
      <c r="AR112" s="303"/>
      <c r="AS112" s="303"/>
      <c r="AT112" s="303"/>
      <c r="AU112" s="303"/>
      <c r="AV112" s="303"/>
      <c r="AW112" s="304"/>
      <c r="AX112" s="305">
        <f t="shared" si="25"/>
        <v>1</v>
      </c>
      <c r="AY112" s="306">
        <f t="shared" si="26"/>
        <v>0</v>
      </c>
      <c r="AZ112" s="306">
        <f t="shared" si="27"/>
        <v>0</v>
      </c>
      <c r="BA112" s="307">
        <f t="shared" si="28"/>
        <v>40</v>
      </c>
      <c r="BB112" s="291"/>
    </row>
    <row r="113" spans="1:54" ht="20.25" customHeight="1">
      <c r="A113" s="201">
        <v>19</v>
      </c>
      <c r="B113" s="63" t="str">
        <f t="shared" si="19"/>
        <v>પરમાર દિલીપકુમાર મધુભાઇ</v>
      </c>
      <c r="C113" s="302" t="s">
        <v>91</v>
      </c>
      <c r="D113" s="303"/>
      <c r="E113" s="303"/>
      <c r="F113" s="303"/>
      <c r="G113" s="303"/>
      <c r="H113" s="303"/>
      <c r="I113" s="303"/>
      <c r="J113" s="303"/>
      <c r="K113" s="303"/>
      <c r="L113" s="303"/>
      <c r="M113" s="303"/>
      <c r="N113" s="303"/>
      <c r="O113" s="303"/>
      <c r="P113" s="303"/>
      <c r="Q113" s="303"/>
      <c r="R113" s="303"/>
      <c r="S113" s="303"/>
      <c r="T113" s="303"/>
      <c r="U113" s="303"/>
      <c r="V113" s="304"/>
      <c r="W113" s="305">
        <f t="shared" si="20"/>
        <v>1</v>
      </c>
      <c r="X113" s="306">
        <f t="shared" si="21"/>
        <v>0</v>
      </c>
      <c r="Y113" s="306">
        <f t="shared" si="22"/>
        <v>0</v>
      </c>
      <c r="Z113" s="307">
        <f t="shared" si="23"/>
        <v>40</v>
      </c>
      <c r="AA113" s="291"/>
      <c r="AB113" s="201">
        <v>19</v>
      </c>
      <c r="AC113" s="63" t="str">
        <f t="shared" si="24"/>
        <v>પરમાર દિલીપકુમાર મધુભાઇ</v>
      </c>
      <c r="AD113" s="302" t="s">
        <v>91</v>
      </c>
      <c r="AE113" s="303"/>
      <c r="AF113" s="303"/>
      <c r="AG113" s="303"/>
      <c r="AH113" s="303"/>
      <c r="AI113" s="303"/>
      <c r="AJ113" s="303"/>
      <c r="AK113" s="303"/>
      <c r="AL113" s="303"/>
      <c r="AM113" s="303"/>
      <c r="AN113" s="303"/>
      <c r="AO113" s="303"/>
      <c r="AP113" s="303"/>
      <c r="AQ113" s="303"/>
      <c r="AR113" s="303"/>
      <c r="AS113" s="303"/>
      <c r="AT113" s="303"/>
      <c r="AU113" s="303"/>
      <c r="AV113" s="303"/>
      <c r="AW113" s="304"/>
      <c r="AX113" s="305">
        <f t="shared" si="25"/>
        <v>1</v>
      </c>
      <c r="AY113" s="306">
        <f t="shared" si="26"/>
        <v>0</v>
      </c>
      <c r="AZ113" s="306">
        <f t="shared" si="27"/>
        <v>0</v>
      </c>
      <c r="BA113" s="307">
        <f t="shared" si="28"/>
        <v>40</v>
      </c>
      <c r="BB113" s="291"/>
    </row>
    <row r="114" spans="1:54" ht="20.25" customHeight="1">
      <c r="A114" s="201">
        <v>20</v>
      </c>
      <c r="B114" s="63" t="str">
        <f t="shared" si="19"/>
        <v>વિરપરા કૃણાલ હરેશભાઇ</v>
      </c>
      <c r="C114" s="302" t="s">
        <v>91</v>
      </c>
      <c r="D114" s="303"/>
      <c r="E114" s="303"/>
      <c r="F114" s="303"/>
      <c r="G114" s="303"/>
      <c r="H114" s="303"/>
      <c r="I114" s="303"/>
      <c r="J114" s="303"/>
      <c r="K114" s="303"/>
      <c r="L114" s="303"/>
      <c r="M114" s="303"/>
      <c r="N114" s="303"/>
      <c r="O114" s="303"/>
      <c r="P114" s="303"/>
      <c r="Q114" s="303"/>
      <c r="R114" s="303"/>
      <c r="S114" s="303"/>
      <c r="T114" s="303"/>
      <c r="U114" s="303"/>
      <c r="V114" s="304"/>
      <c r="W114" s="305">
        <f t="shared" si="20"/>
        <v>1</v>
      </c>
      <c r="X114" s="306">
        <f t="shared" si="21"/>
        <v>0</v>
      </c>
      <c r="Y114" s="306">
        <f t="shared" si="22"/>
        <v>0</v>
      </c>
      <c r="Z114" s="307">
        <f t="shared" si="23"/>
        <v>40</v>
      </c>
      <c r="AA114" s="291"/>
      <c r="AB114" s="201">
        <v>20</v>
      </c>
      <c r="AC114" s="63" t="str">
        <f t="shared" si="24"/>
        <v>વિરપરા કૃણાલ હરેશભાઇ</v>
      </c>
      <c r="AD114" s="302" t="s">
        <v>91</v>
      </c>
      <c r="AE114" s="303"/>
      <c r="AF114" s="303"/>
      <c r="AG114" s="303"/>
      <c r="AH114" s="303"/>
      <c r="AI114" s="303"/>
      <c r="AJ114" s="303"/>
      <c r="AK114" s="303"/>
      <c r="AL114" s="303"/>
      <c r="AM114" s="303"/>
      <c r="AN114" s="303"/>
      <c r="AO114" s="303"/>
      <c r="AP114" s="303"/>
      <c r="AQ114" s="303"/>
      <c r="AR114" s="303"/>
      <c r="AS114" s="303"/>
      <c r="AT114" s="303"/>
      <c r="AU114" s="303"/>
      <c r="AV114" s="303"/>
      <c r="AW114" s="304"/>
      <c r="AX114" s="305">
        <f t="shared" si="25"/>
        <v>1</v>
      </c>
      <c r="AY114" s="306">
        <f t="shared" si="26"/>
        <v>0</v>
      </c>
      <c r="AZ114" s="306">
        <f t="shared" si="27"/>
        <v>0</v>
      </c>
      <c r="BA114" s="307">
        <f t="shared" si="28"/>
        <v>40</v>
      </c>
      <c r="BB114" s="291"/>
    </row>
    <row r="115" spans="1:54" ht="20.25" customHeight="1">
      <c r="A115" s="201">
        <v>21</v>
      </c>
      <c r="B115" s="63" t="str">
        <f t="shared" si="19"/>
        <v>મકરૂબિયા જીજ્ઞેશભાઇ અશોકભાઇ</v>
      </c>
      <c r="C115" s="302" t="s">
        <v>91</v>
      </c>
      <c r="D115" s="303"/>
      <c r="E115" s="303"/>
      <c r="F115" s="303"/>
      <c r="G115" s="303"/>
      <c r="H115" s="303"/>
      <c r="I115" s="303"/>
      <c r="J115" s="303"/>
      <c r="K115" s="303"/>
      <c r="L115" s="303"/>
      <c r="M115" s="303"/>
      <c r="N115" s="303"/>
      <c r="O115" s="303"/>
      <c r="P115" s="303"/>
      <c r="Q115" s="303"/>
      <c r="R115" s="303"/>
      <c r="S115" s="303"/>
      <c r="T115" s="303"/>
      <c r="U115" s="303"/>
      <c r="V115" s="304"/>
      <c r="W115" s="305">
        <f t="shared" si="20"/>
        <v>1</v>
      </c>
      <c r="X115" s="306">
        <f t="shared" si="21"/>
        <v>0</v>
      </c>
      <c r="Y115" s="306">
        <f t="shared" si="22"/>
        <v>0</v>
      </c>
      <c r="Z115" s="307">
        <f t="shared" si="23"/>
        <v>40</v>
      </c>
      <c r="AA115" s="291"/>
      <c r="AB115" s="201">
        <v>21</v>
      </c>
      <c r="AC115" s="63" t="str">
        <f t="shared" si="24"/>
        <v>મકરૂબિયા જીજ્ઞેશભાઇ અશોકભાઇ</v>
      </c>
      <c r="AD115" s="302" t="s">
        <v>91</v>
      </c>
      <c r="AE115" s="303"/>
      <c r="AF115" s="303"/>
      <c r="AG115" s="303"/>
      <c r="AH115" s="303"/>
      <c r="AI115" s="303"/>
      <c r="AJ115" s="303"/>
      <c r="AK115" s="303"/>
      <c r="AL115" s="303"/>
      <c r="AM115" s="303"/>
      <c r="AN115" s="303"/>
      <c r="AO115" s="303"/>
      <c r="AP115" s="303"/>
      <c r="AQ115" s="303"/>
      <c r="AR115" s="303"/>
      <c r="AS115" s="303"/>
      <c r="AT115" s="303"/>
      <c r="AU115" s="303"/>
      <c r="AV115" s="303"/>
      <c r="AW115" s="304"/>
      <c r="AX115" s="305">
        <f t="shared" si="25"/>
        <v>1</v>
      </c>
      <c r="AY115" s="306">
        <f t="shared" si="26"/>
        <v>0</v>
      </c>
      <c r="AZ115" s="306">
        <f t="shared" si="27"/>
        <v>0</v>
      </c>
      <c r="BA115" s="307">
        <f t="shared" si="28"/>
        <v>40</v>
      </c>
      <c r="BB115" s="291"/>
    </row>
    <row r="116" spans="1:54" ht="20.25" customHeight="1">
      <c r="A116" s="201">
        <v>22</v>
      </c>
      <c r="B116" s="63" t="str">
        <f t="shared" si="19"/>
        <v>ખિમસુરીયા જ્યોત્સના મુકેશભાઇ</v>
      </c>
      <c r="C116" s="302" t="s">
        <v>91</v>
      </c>
      <c r="D116" s="303"/>
      <c r="E116" s="303"/>
      <c r="F116" s="303"/>
      <c r="G116" s="303"/>
      <c r="H116" s="303"/>
      <c r="I116" s="303"/>
      <c r="J116" s="303"/>
      <c r="K116" s="303"/>
      <c r="L116" s="303"/>
      <c r="M116" s="303"/>
      <c r="N116" s="303"/>
      <c r="O116" s="303"/>
      <c r="P116" s="303"/>
      <c r="Q116" s="303"/>
      <c r="R116" s="303"/>
      <c r="S116" s="303"/>
      <c r="T116" s="303"/>
      <c r="U116" s="303"/>
      <c r="V116" s="304"/>
      <c r="W116" s="305">
        <f t="shared" si="20"/>
        <v>1</v>
      </c>
      <c r="X116" s="306">
        <f t="shared" si="21"/>
        <v>0</v>
      </c>
      <c r="Y116" s="306">
        <f t="shared" si="22"/>
        <v>0</v>
      </c>
      <c r="Z116" s="307">
        <f t="shared" si="23"/>
        <v>40</v>
      </c>
      <c r="AA116" s="291"/>
      <c r="AB116" s="201">
        <v>22</v>
      </c>
      <c r="AC116" s="63" t="str">
        <f t="shared" si="24"/>
        <v>ખિમસુરીયા જ્યોત્સના મુકેશભાઇ</v>
      </c>
      <c r="AD116" s="302" t="s">
        <v>91</v>
      </c>
      <c r="AE116" s="303"/>
      <c r="AF116" s="303"/>
      <c r="AG116" s="303"/>
      <c r="AH116" s="303"/>
      <c r="AI116" s="303"/>
      <c r="AJ116" s="303"/>
      <c r="AK116" s="303"/>
      <c r="AL116" s="303"/>
      <c r="AM116" s="303"/>
      <c r="AN116" s="303"/>
      <c r="AO116" s="303"/>
      <c r="AP116" s="303"/>
      <c r="AQ116" s="303"/>
      <c r="AR116" s="303"/>
      <c r="AS116" s="303"/>
      <c r="AT116" s="303"/>
      <c r="AU116" s="303"/>
      <c r="AV116" s="303"/>
      <c r="AW116" s="304"/>
      <c r="AX116" s="305">
        <f t="shared" si="25"/>
        <v>1</v>
      </c>
      <c r="AY116" s="306">
        <f t="shared" si="26"/>
        <v>0</v>
      </c>
      <c r="AZ116" s="306">
        <f t="shared" si="27"/>
        <v>0</v>
      </c>
      <c r="BA116" s="307">
        <f t="shared" si="28"/>
        <v>40</v>
      </c>
      <c r="BB116" s="291"/>
    </row>
    <row r="117" spans="1:54" ht="20.25" customHeight="1">
      <c r="A117" s="201">
        <v>23</v>
      </c>
      <c r="B117" s="63" t="str">
        <f t="shared" si="19"/>
        <v>ગરણિયા રાજલબેન સામતભાઇ</v>
      </c>
      <c r="C117" s="302" t="s">
        <v>91</v>
      </c>
      <c r="D117" s="303"/>
      <c r="E117" s="303"/>
      <c r="F117" s="303"/>
      <c r="G117" s="303"/>
      <c r="H117" s="303"/>
      <c r="I117" s="303"/>
      <c r="J117" s="303"/>
      <c r="K117" s="303"/>
      <c r="L117" s="303"/>
      <c r="M117" s="303"/>
      <c r="N117" s="303"/>
      <c r="O117" s="303"/>
      <c r="P117" s="303"/>
      <c r="Q117" s="303"/>
      <c r="R117" s="303"/>
      <c r="S117" s="303"/>
      <c r="T117" s="303"/>
      <c r="U117" s="303"/>
      <c r="V117" s="304"/>
      <c r="W117" s="305">
        <f t="shared" si="20"/>
        <v>1</v>
      </c>
      <c r="X117" s="306">
        <f t="shared" si="21"/>
        <v>0</v>
      </c>
      <c r="Y117" s="306">
        <f t="shared" si="22"/>
        <v>0</v>
      </c>
      <c r="Z117" s="307">
        <f t="shared" si="23"/>
        <v>40</v>
      </c>
      <c r="AA117" s="291"/>
      <c r="AB117" s="201">
        <v>23</v>
      </c>
      <c r="AC117" s="63" t="str">
        <f t="shared" si="24"/>
        <v>ગરણિયા રાજલબેન સામતભાઇ</v>
      </c>
      <c r="AD117" s="302" t="s">
        <v>91</v>
      </c>
      <c r="AE117" s="303"/>
      <c r="AF117" s="303"/>
      <c r="AG117" s="303"/>
      <c r="AH117" s="303"/>
      <c r="AI117" s="303"/>
      <c r="AJ117" s="303"/>
      <c r="AK117" s="303"/>
      <c r="AL117" s="303"/>
      <c r="AM117" s="303"/>
      <c r="AN117" s="303"/>
      <c r="AO117" s="303"/>
      <c r="AP117" s="303"/>
      <c r="AQ117" s="303"/>
      <c r="AR117" s="303"/>
      <c r="AS117" s="303"/>
      <c r="AT117" s="303"/>
      <c r="AU117" s="303"/>
      <c r="AV117" s="303"/>
      <c r="AW117" s="304"/>
      <c r="AX117" s="305">
        <f t="shared" si="25"/>
        <v>1</v>
      </c>
      <c r="AY117" s="306">
        <f t="shared" si="26"/>
        <v>0</v>
      </c>
      <c r="AZ117" s="306">
        <f t="shared" si="27"/>
        <v>0</v>
      </c>
      <c r="BA117" s="307">
        <f t="shared" si="28"/>
        <v>40</v>
      </c>
      <c r="BB117" s="291"/>
    </row>
    <row r="118" spans="1:54" ht="20.25" customHeight="1">
      <c r="A118" s="201">
        <v>24</v>
      </c>
      <c r="B118" s="63" t="str">
        <f t="shared" si="19"/>
        <v>ગરણિયા નિરાલીબેન પ્રદીપભાઇ</v>
      </c>
      <c r="C118" s="302" t="s">
        <v>91</v>
      </c>
      <c r="D118" s="303"/>
      <c r="E118" s="303"/>
      <c r="F118" s="303"/>
      <c r="G118" s="303"/>
      <c r="H118" s="303"/>
      <c r="I118" s="303"/>
      <c r="J118" s="303"/>
      <c r="K118" s="303"/>
      <c r="L118" s="303"/>
      <c r="M118" s="303"/>
      <c r="N118" s="303"/>
      <c r="O118" s="303"/>
      <c r="P118" s="303"/>
      <c r="Q118" s="303"/>
      <c r="R118" s="303"/>
      <c r="S118" s="303"/>
      <c r="T118" s="303"/>
      <c r="U118" s="303"/>
      <c r="V118" s="304"/>
      <c r="W118" s="305">
        <f t="shared" si="20"/>
        <v>1</v>
      </c>
      <c r="X118" s="306">
        <f t="shared" si="21"/>
        <v>0</v>
      </c>
      <c r="Y118" s="306">
        <f t="shared" si="22"/>
        <v>0</v>
      </c>
      <c r="Z118" s="307">
        <f t="shared" si="23"/>
        <v>40</v>
      </c>
      <c r="AA118" s="291"/>
      <c r="AB118" s="201">
        <v>24</v>
      </c>
      <c r="AC118" s="63" t="str">
        <f t="shared" si="24"/>
        <v>ગરણિયા નિરાલીબેન પ્રદીપભાઇ</v>
      </c>
      <c r="AD118" s="302" t="s">
        <v>91</v>
      </c>
      <c r="AE118" s="303"/>
      <c r="AF118" s="303"/>
      <c r="AG118" s="303"/>
      <c r="AH118" s="303"/>
      <c r="AI118" s="303"/>
      <c r="AJ118" s="303"/>
      <c r="AK118" s="303"/>
      <c r="AL118" s="303"/>
      <c r="AM118" s="303"/>
      <c r="AN118" s="303"/>
      <c r="AO118" s="303"/>
      <c r="AP118" s="303"/>
      <c r="AQ118" s="303"/>
      <c r="AR118" s="303"/>
      <c r="AS118" s="303"/>
      <c r="AT118" s="303"/>
      <c r="AU118" s="303"/>
      <c r="AV118" s="303"/>
      <c r="AW118" s="304"/>
      <c r="AX118" s="305">
        <f t="shared" si="25"/>
        <v>1</v>
      </c>
      <c r="AY118" s="306">
        <f t="shared" si="26"/>
        <v>0</v>
      </c>
      <c r="AZ118" s="306">
        <f t="shared" si="27"/>
        <v>0</v>
      </c>
      <c r="BA118" s="307">
        <f t="shared" si="28"/>
        <v>40</v>
      </c>
      <c r="BB118" s="291"/>
    </row>
    <row r="119" spans="1:54" ht="20.25" customHeight="1">
      <c r="A119" s="201">
        <v>25</v>
      </c>
      <c r="B119" s="63" t="str">
        <f t="shared" si="19"/>
        <v>ગરણિયા રાધાબેન લક્ષ્મણભાઇ</v>
      </c>
      <c r="C119" s="302" t="s">
        <v>91</v>
      </c>
      <c r="D119" s="303"/>
      <c r="E119" s="303"/>
      <c r="F119" s="303"/>
      <c r="G119" s="303"/>
      <c r="H119" s="303"/>
      <c r="I119" s="303"/>
      <c r="J119" s="303"/>
      <c r="K119" s="303"/>
      <c r="L119" s="303"/>
      <c r="M119" s="303"/>
      <c r="N119" s="303"/>
      <c r="O119" s="303"/>
      <c r="P119" s="303"/>
      <c r="Q119" s="303"/>
      <c r="R119" s="303"/>
      <c r="S119" s="303"/>
      <c r="T119" s="303"/>
      <c r="U119" s="303"/>
      <c r="V119" s="304"/>
      <c r="W119" s="305">
        <f t="shared" si="20"/>
        <v>1</v>
      </c>
      <c r="X119" s="306">
        <f t="shared" si="21"/>
        <v>0</v>
      </c>
      <c r="Y119" s="306">
        <f t="shared" si="22"/>
        <v>0</v>
      </c>
      <c r="Z119" s="307">
        <f t="shared" si="23"/>
        <v>40</v>
      </c>
      <c r="AA119" s="291"/>
      <c r="AB119" s="201">
        <v>25</v>
      </c>
      <c r="AC119" s="63" t="str">
        <f t="shared" si="24"/>
        <v>ગરણિયા રાધાબેન લક્ષ્મણભાઇ</v>
      </c>
      <c r="AD119" s="302" t="s">
        <v>91</v>
      </c>
      <c r="AE119" s="303"/>
      <c r="AF119" s="303"/>
      <c r="AG119" s="303"/>
      <c r="AH119" s="303"/>
      <c r="AI119" s="303"/>
      <c r="AJ119" s="303"/>
      <c r="AK119" s="303"/>
      <c r="AL119" s="303"/>
      <c r="AM119" s="303"/>
      <c r="AN119" s="303"/>
      <c r="AO119" s="303"/>
      <c r="AP119" s="303"/>
      <c r="AQ119" s="303"/>
      <c r="AR119" s="303"/>
      <c r="AS119" s="303"/>
      <c r="AT119" s="303"/>
      <c r="AU119" s="303"/>
      <c r="AV119" s="303"/>
      <c r="AW119" s="304"/>
      <c r="AX119" s="305">
        <f t="shared" si="25"/>
        <v>1</v>
      </c>
      <c r="AY119" s="306">
        <f t="shared" si="26"/>
        <v>0</v>
      </c>
      <c r="AZ119" s="306">
        <f t="shared" si="27"/>
        <v>0</v>
      </c>
      <c r="BA119" s="307">
        <f t="shared" si="28"/>
        <v>40</v>
      </c>
      <c r="BB119" s="291"/>
    </row>
    <row r="120" spans="1:54" ht="20.25" customHeight="1">
      <c r="A120" s="201">
        <v>26</v>
      </c>
      <c r="B120" s="63" t="str">
        <f t="shared" si="19"/>
        <v>ગૌસ્વામિ મયુરીબેન રમેશગીરી</v>
      </c>
      <c r="C120" s="302" t="s">
        <v>91</v>
      </c>
      <c r="D120" s="303"/>
      <c r="E120" s="303"/>
      <c r="F120" s="303"/>
      <c r="G120" s="303"/>
      <c r="H120" s="303"/>
      <c r="I120" s="303"/>
      <c r="J120" s="303"/>
      <c r="K120" s="303"/>
      <c r="L120" s="303"/>
      <c r="M120" s="303"/>
      <c r="N120" s="303"/>
      <c r="O120" s="303"/>
      <c r="P120" s="303"/>
      <c r="Q120" s="303"/>
      <c r="R120" s="303"/>
      <c r="S120" s="303"/>
      <c r="T120" s="303"/>
      <c r="U120" s="303"/>
      <c r="V120" s="304"/>
      <c r="W120" s="305">
        <f t="shared" si="20"/>
        <v>1</v>
      </c>
      <c r="X120" s="306">
        <f t="shared" si="21"/>
        <v>0</v>
      </c>
      <c r="Y120" s="306">
        <f t="shared" si="22"/>
        <v>0</v>
      </c>
      <c r="Z120" s="307">
        <f t="shared" si="23"/>
        <v>40</v>
      </c>
      <c r="AA120" s="291"/>
      <c r="AB120" s="201">
        <v>26</v>
      </c>
      <c r="AC120" s="63" t="str">
        <f t="shared" si="24"/>
        <v>ગૌસ્વામિ મયુરીબેન રમેશગીરી</v>
      </c>
      <c r="AD120" s="302" t="s">
        <v>91</v>
      </c>
      <c r="AE120" s="303"/>
      <c r="AF120" s="303"/>
      <c r="AG120" s="303"/>
      <c r="AH120" s="303"/>
      <c r="AI120" s="303"/>
      <c r="AJ120" s="303"/>
      <c r="AK120" s="303"/>
      <c r="AL120" s="303"/>
      <c r="AM120" s="303"/>
      <c r="AN120" s="303"/>
      <c r="AO120" s="303"/>
      <c r="AP120" s="303"/>
      <c r="AQ120" s="303"/>
      <c r="AR120" s="303"/>
      <c r="AS120" s="303"/>
      <c r="AT120" s="303"/>
      <c r="AU120" s="303"/>
      <c r="AV120" s="303"/>
      <c r="AW120" s="304"/>
      <c r="AX120" s="305">
        <f t="shared" si="25"/>
        <v>1</v>
      </c>
      <c r="AY120" s="306">
        <f t="shared" si="26"/>
        <v>0</v>
      </c>
      <c r="AZ120" s="306">
        <f t="shared" si="27"/>
        <v>0</v>
      </c>
      <c r="BA120" s="307">
        <f t="shared" si="28"/>
        <v>40</v>
      </c>
      <c r="BB120" s="291"/>
    </row>
    <row r="121" spans="1:54" ht="20.25" customHeight="1">
      <c r="A121" s="201">
        <v>27</v>
      </c>
      <c r="B121" s="63" t="str">
        <f t="shared" si="19"/>
        <v>બતાડા જાનકી વાલાભાઇ</v>
      </c>
      <c r="C121" s="302" t="s">
        <v>91</v>
      </c>
      <c r="D121" s="303"/>
      <c r="E121" s="303"/>
      <c r="F121" s="303"/>
      <c r="G121" s="303"/>
      <c r="H121" s="303"/>
      <c r="I121" s="303"/>
      <c r="J121" s="303"/>
      <c r="K121" s="303"/>
      <c r="L121" s="303"/>
      <c r="M121" s="303"/>
      <c r="N121" s="303"/>
      <c r="O121" s="303"/>
      <c r="P121" s="303"/>
      <c r="Q121" s="303"/>
      <c r="R121" s="303"/>
      <c r="S121" s="303"/>
      <c r="T121" s="303"/>
      <c r="U121" s="303"/>
      <c r="V121" s="304"/>
      <c r="W121" s="305">
        <f t="shared" si="20"/>
        <v>1</v>
      </c>
      <c r="X121" s="306">
        <f t="shared" si="21"/>
        <v>0</v>
      </c>
      <c r="Y121" s="306">
        <f t="shared" si="22"/>
        <v>0</v>
      </c>
      <c r="Z121" s="307">
        <f t="shared" si="23"/>
        <v>40</v>
      </c>
      <c r="AA121" s="291"/>
      <c r="AB121" s="201">
        <v>27</v>
      </c>
      <c r="AC121" s="63" t="str">
        <f t="shared" si="24"/>
        <v>બતાડા જાનકી વાલાભાઇ</v>
      </c>
      <c r="AD121" s="302" t="s">
        <v>91</v>
      </c>
      <c r="AE121" s="303"/>
      <c r="AF121" s="303"/>
      <c r="AG121" s="303"/>
      <c r="AH121" s="303"/>
      <c r="AI121" s="303"/>
      <c r="AJ121" s="303"/>
      <c r="AK121" s="303"/>
      <c r="AL121" s="303"/>
      <c r="AM121" s="303"/>
      <c r="AN121" s="303"/>
      <c r="AO121" s="303"/>
      <c r="AP121" s="303"/>
      <c r="AQ121" s="303"/>
      <c r="AR121" s="303"/>
      <c r="AS121" s="303"/>
      <c r="AT121" s="303"/>
      <c r="AU121" s="303"/>
      <c r="AV121" s="303"/>
      <c r="AW121" s="304"/>
      <c r="AX121" s="305">
        <f t="shared" si="25"/>
        <v>1</v>
      </c>
      <c r="AY121" s="306">
        <f t="shared" si="26"/>
        <v>0</v>
      </c>
      <c r="AZ121" s="306">
        <f t="shared" si="27"/>
        <v>0</v>
      </c>
      <c r="BA121" s="307">
        <f t="shared" si="28"/>
        <v>40</v>
      </c>
      <c r="BB121" s="291"/>
    </row>
    <row r="122" spans="1:54" ht="20.25" customHeight="1">
      <c r="A122" s="201">
        <v>28</v>
      </c>
      <c r="B122" s="63" t="str">
        <f t="shared" si="19"/>
        <v>બતાડા ક્રિષ્નાબેન દેવશીભાઇ</v>
      </c>
      <c r="C122" s="302" t="s">
        <v>91</v>
      </c>
      <c r="D122" s="303"/>
      <c r="E122" s="303"/>
      <c r="F122" s="303"/>
      <c r="G122" s="303"/>
      <c r="H122" s="303"/>
      <c r="I122" s="303"/>
      <c r="J122" s="303"/>
      <c r="K122" s="303"/>
      <c r="L122" s="303"/>
      <c r="M122" s="303"/>
      <c r="N122" s="303"/>
      <c r="O122" s="303"/>
      <c r="P122" s="303"/>
      <c r="Q122" s="303"/>
      <c r="R122" s="303"/>
      <c r="S122" s="303"/>
      <c r="T122" s="303"/>
      <c r="U122" s="303"/>
      <c r="V122" s="304"/>
      <c r="W122" s="305">
        <f t="shared" si="20"/>
        <v>1</v>
      </c>
      <c r="X122" s="306">
        <f t="shared" si="21"/>
        <v>0</v>
      </c>
      <c r="Y122" s="306">
        <f t="shared" si="22"/>
        <v>0</v>
      </c>
      <c r="Z122" s="307">
        <f t="shared" si="23"/>
        <v>40</v>
      </c>
      <c r="AA122" s="291"/>
      <c r="AB122" s="201">
        <v>28</v>
      </c>
      <c r="AC122" s="63" t="str">
        <f t="shared" si="24"/>
        <v>બતાડા ક્રિષ્નાબેન દેવશીભાઇ</v>
      </c>
      <c r="AD122" s="302" t="s">
        <v>91</v>
      </c>
      <c r="AE122" s="303"/>
      <c r="AF122" s="303"/>
      <c r="AG122" s="303"/>
      <c r="AH122" s="303"/>
      <c r="AI122" s="303"/>
      <c r="AJ122" s="303"/>
      <c r="AK122" s="303"/>
      <c r="AL122" s="303"/>
      <c r="AM122" s="303"/>
      <c r="AN122" s="303"/>
      <c r="AO122" s="303"/>
      <c r="AP122" s="303"/>
      <c r="AQ122" s="303"/>
      <c r="AR122" s="303"/>
      <c r="AS122" s="303"/>
      <c r="AT122" s="303"/>
      <c r="AU122" s="303"/>
      <c r="AV122" s="303"/>
      <c r="AW122" s="304"/>
      <c r="AX122" s="305">
        <f t="shared" si="25"/>
        <v>1</v>
      </c>
      <c r="AY122" s="306">
        <f t="shared" si="26"/>
        <v>0</v>
      </c>
      <c r="AZ122" s="306">
        <f t="shared" si="27"/>
        <v>0</v>
      </c>
      <c r="BA122" s="307">
        <f t="shared" si="28"/>
        <v>40</v>
      </c>
      <c r="BB122" s="291"/>
    </row>
    <row r="123" spans="1:54" ht="20.25" customHeight="1">
      <c r="A123" s="201">
        <v>29</v>
      </c>
      <c r="B123" s="63" t="str">
        <f t="shared" si="19"/>
        <v>પરમાર અનિષા રમેશભાઇ</v>
      </c>
      <c r="C123" s="302" t="s">
        <v>91</v>
      </c>
      <c r="D123" s="303"/>
      <c r="E123" s="303"/>
      <c r="F123" s="303"/>
      <c r="G123" s="303"/>
      <c r="H123" s="303"/>
      <c r="I123" s="303"/>
      <c r="J123" s="303"/>
      <c r="K123" s="303"/>
      <c r="L123" s="303"/>
      <c r="M123" s="303"/>
      <c r="N123" s="303"/>
      <c r="O123" s="303"/>
      <c r="P123" s="303"/>
      <c r="Q123" s="303"/>
      <c r="R123" s="303"/>
      <c r="S123" s="303"/>
      <c r="T123" s="303"/>
      <c r="U123" s="303"/>
      <c r="V123" s="304"/>
      <c r="W123" s="305">
        <f t="shared" si="20"/>
        <v>1</v>
      </c>
      <c r="X123" s="306">
        <f t="shared" si="21"/>
        <v>0</v>
      </c>
      <c r="Y123" s="306">
        <f t="shared" si="22"/>
        <v>0</v>
      </c>
      <c r="Z123" s="307">
        <f t="shared" si="23"/>
        <v>40</v>
      </c>
      <c r="AA123" s="291"/>
      <c r="AB123" s="201">
        <v>29</v>
      </c>
      <c r="AC123" s="63" t="str">
        <f t="shared" si="24"/>
        <v>પરમાર અનિષા રમેશભાઇ</v>
      </c>
      <c r="AD123" s="302" t="s">
        <v>91</v>
      </c>
      <c r="AE123" s="303"/>
      <c r="AF123" s="303"/>
      <c r="AG123" s="303"/>
      <c r="AH123" s="303"/>
      <c r="AI123" s="303"/>
      <c r="AJ123" s="303"/>
      <c r="AK123" s="303"/>
      <c r="AL123" s="303"/>
      <c r="AM123" s="303"/>
      <c r="AN123" s="303"/>
      <c r="AO123" s="303"/>
      <c r="AP123" s="303"/>
      <c r="AQ123" s="303"/>
      <c r="AR123" s="303"/>
      <c r="AS123" s="303"/>
      <c r="AT123" s="303"/>
      <c r="AU123" s="303"/>
      <c r="AV123" s="303"/>
      <c r="AW123" s="304"/>
      <c r="AX123" s="305">
        <f t="shared" si="25"/>
        <v>1</v>
      </c>
      <c r="AY123" s="306">
        <f t="shared" si="26"/>
        <v>0</v>
      </c>
      <c r="AZ123" s="306">
        <f t="shared" si="27"/>
        <v>0</v>
      </c>
      <c r="BA123" s="307">
        <f t="shared" si="28"/>
        <v>40</v>
      </c>
      <c r="BB123" s="291"/>
    </row>
    <row r="124" spans="1:54" ht="20.25" customHeight="1">
      <c r="A124" s="201">
        <v>30</v>
      </c>
      <c r="B124" s="63" t="str">
        <f t="shared" si="19"/>
        <v>મકરૂબિયા નમ્રતા વશરામભાઇ</v>
      </c>
      <c r="C124" s="302" t="s">
        <v>91</v>
      </c>
      <c r="D124" s="303"/>
      <c r="E124" s="303"/>
      <c r="F124" s="303"/>
      <c r="G124" s="303"/>
      <c r="H124" s="303"/>
      <c r="I124" s="303"/>
      <c r="J124" s="303"/>
      <c r="K124" s="303"/>
      <c r="L124" s="303"/>
      <c r="M124" s="303"/>
      <c r="N124" s="303"/>
      <c r="O124" s="303"/>
      <c r="P124" s="303"/>
      <c r="Q124" s="303"/>
      <c r="R124" s="303"/>
      <c r="S124" s="303"/>
      <c r="T124" s="303"/>
      <c r="U124" s="303"/>
      <c r="V124" s="304"/>
      <c r="W124" s="305">
        <f t="shared" si="20"/>
        <v>1</v>
      </c>
      <c r="X124" s="306">
        <f t="shared" si="21"/>
        <v>0</v>
      </c>
      <c r="Y124" s="306">
        <f t="shared" si="22"/>
        <v>0</v>
      </c>
      <c r="Z124" s="307">
        <f t="shared" si="23"/>
        <v>40</v>
      </c>
      <c r="AA124" s="291"/>
      <c r="AB124" s="201">
        <v>30</v>
      </c>
      <c r="AC124" s="63" t="str">
        <f t="shared" si="24"/>
        <v>મકરૂબિયા નમ્રતા વશરામભાઇ</v>
      </c>
      <c r="AD124" s="302" t="s">
        <v>91</v>
      </c>
      <c r="AE124" s="303"/>
      <c r="AF124" s="303"/>
      <c r="AG124" s="303"/>
      <c r="AH124" s="303"/>
      <c r="AI124" s="303"/>
      <c r="AJ124" s="303"/>
      <c r="AK124" s="303"/>
      <c r="AL124" s="303"/>
      <c r="AM124" s="303"/>
      <c r="AN124" s="303"/>
      <c r="AO124" s="303"/>
      <c r="AP124" s="303"/>
      <c r="AQ124" s="303"/>
      <c r="AR124" s="303"/>
      <c r="AS124" s="303"/>
      <c r="AT124" s="303"/>
      <c r="AU124" s="303"/>
      <c r="AV124" s="303"/>
      <c r="AW124" s="304"/>
      <c r="AX124" s="305">
        <f t="shared" si="25"/>
        <v>1</v>
      </c>
      <c r="AY124" s="306">
        <f t="shared" si="26"/>
        <v>0</v>
      </c>
      <c r="AZ124" s="306">
        <f t="shared" si="27"/>
        <v>0</v>
      </c>
      <c r="BA124" s="307">
        <f t="shared" si="28"/>
        <v>40</v>
      </c>
      <c r="BB124" s="291"/>
    </row>
    <row r="125" spans="1:54" ht="20.25" customHeight="1">
      <c r="A125" s="201">
        <v>31</v>
      </c>
      <c r="B125" s="63">
        <f t="shared" si="19"/>
        <v>0</v>
      </c>
      <c r="C125" s="302"/>
      <c r="D125" s="303"/>
      <c r="E125" s="303"/>
      <c r="F125" s="303"/>
      <c r="G125" s="303"/>
      <c r="H125" s="303"/>
      <c r="I125" s="303"/>
      <c r="J125" s="303"/>
      <c r="K125" s="303"/>
      <c r="L125" s="303"/>
      <c r="M125" s="303"/>
      <c r="N125" s="303"/>
      <c r="O125" s="303"/>
      <c r="P125" s="303"/>
      <c r="Q125" s="303"/>
      <c r="R125" s="303"/>
      <c r="S125" s="303"/>
      <c r="T125" s="303"/>
      <c r="U125" s="303"/>
      <c r="V125" s="304"/>
      <c r="W125" s="305">
        <f t="shared" si="20"/>
        <v>0</v>
      </c>
      <c r="X125" s="306">
        <f t="shared" si="21"/>
        <v>0</v>
      </c>
      <c r="Y125" s="306">
        <f t="shared" si="22"/>
        <v>0</v>
      </c>
      <c r="Z125" s="307">
        <f t="shared" si="23"/>
        <v>0</v>
      </c>
      <c r="AA125" s="291"/>
      <c r="AB125" s="201">
        <v>31</v>
      </c>
      <c r="AC125" s="63">
        <f t="shared" si="24"/>
        <v>0</v>
      </c>
      <c r="AD125" s="302"/>
      <c r="AE125" s="303"/>
      <c r="AF125" s="303"/>
      <c r="AG125" s="303"/>
      <c r="AH125" s="303"/>
      <c r="AI125" s="303"/>
      <c r="AJ125" s="303"/>
      <c r="AK125" s="303"/>
      <c r="AL125" s="303"/>
      <c r="AM125" s="303"/>
      <c r="AN125" s="303"/>
      <c r="AO125" s="303"/>
      <c r="AP125" s="303"/>
      <c r="AQ125" s="303"/>
      <c r="AR125" s="303"/>
      <c r="AS125" s="303"/>
      <c r="AT125" s="303"/>
      <c r="AU125" s="303"/>
      <c r="AV125" s="303"/>
      <c r="AW125" s="304"/>
      <c r="AX125" s="305">
        <f t="shared" si="25"/>
        <v>0</v>
      </c>
      <c r="AY125" s="306">
        <f t="shared" si="26"/>
        <v>0</v>
      </c>
      <c r="AZ125" s="306">
        <f t="shared" si="27"/>
        <v>0</v>
      </c>
      <c r="BA125" s="307">
        <f t="shared" si="28"/>
        <v>0</v>
      </c>
      <c r="BB125" s="291"/>
    </row>
    <row r="126" spans="1:54" ht="20.25" customHeight="1">
      <c r="A126" s="201">
        <v>32</v>
      </c>
      <c r="B126" s="63">
        <f t="shared" si="19"/>
        <v>0</v>
      </c>
      <c r="C126" s="302"/>
      <c r="D126" s="303"/>
      <c r="E126" s="303"/>
      <c r="F126" s="303"/>
      <c r="G126" s="303"/>
      <c r="H126" s="303"/>
      <c r="I126" s="303"/>
      <c r="J126" s="303"/>
      <c r="K126" s="303"/>
      <c r="L126" s="303"/>
      <c r="M126" s="303"/>
      <c r="N126" s="303"/>
      <c r="O126" s="303"/>
      <c r="P126" s="303"/>
      <c r="Q126" s="303"/>
      <c r="R126" s="303"/>
      <c r="S126" s="303"/>
      <c r="T126" s="303"/>
      <c r="U126" s="303"/>
      <c r="V126" s="304"/>
      <c r="W126" s="305">
        <f t="shared" si="20"/>
        <v>0</v>
      </c>
      <c r="X126" s="306">
        <f t="shared" si="21"/>
        <v>0</v>
      </c>
      <c r="Y126" s="306">
        <f t="shared" si="22"/>
        <v>0</v>
      </c>
      <c r="Z126" s="307">
        <f t="shared" si="23"/>
        <v>0</v>
      </c>
      <c r="AA126" s="291"/>
      <c r="AB126" s="201">
        <v>32</v>
      </c>
      <c r="AC126" s="63">
        <f t="shared" si="24"/>
        <v>0</v>
      </c>
      <c r="AD126" s="302"/>
      <c r="AE126" s="303"/>
      <c r="AF126" s="303"/>
      <c r="AG126" s="303"/>
      <c r="AH126" s="303"/>
      <c r="AI126" s="303"/>
      <c r="AJ126" s="303"/>
      <c r="AK126" s="303"/>
      <c r="AL126" s="303"/>
      <c r="AM126" s="303"/>
      <c r="AN126" s="303"/>
      <c r="AO126" s="303"/>
      <c r="AP126" s="303"/>
      <c r="AQ126" s="303"/>
      <c r="AR126" s="303"/>
      <c r="AS126" s="303"/>
      <c r="AT126" s="303"/>
      <c r="AU126" s="303"/>
      <c r="AV126" s="303"/>
      <c r="AW126" s="304"/>
      <c r="AX126" s="305">
        <f t="shared" si="25"/>
        <v>0</v>
      </c>
      <c r="AY126" s="306">
        <f t="shared" si="26"/>
        <v>0</v>
      </c>
      <c r="AZ126" s="306">
        <f t="shared" si="27"/>
        <v>0</v>
      </c>
      <c r="BA126" s="307">
        <f t="shared" si="28"/>
        <v>0</v>
      </c>
      <c r="BB126" s="291"/>
    </row>
    <row r="127" spans="1:54" ht="20.25" customHeight="1">
      <c r="A127" s="201">
        <v>33</v>
      </c>
      <c r="B127" s="63">
        <f t="shared" si="19"/>
        <v>0</v>
      </c>
      <c r="C127" s="302"/>
      <c r="D127" s="303"/>
      <c r="E127" s="303"/>
      <c r="F127" s="303"/>
      <c r="G127" s="303"/>
      <c r="H127" s="303"/>
      <c r="I127" s="303"/>
      <c r="J127" s="303"/>
      <c r="K127" s="303"/>
      <c r="L127" s="303"/>
      <c r="M127" s="303"/>
      <c r="N127" s="303"/>
      <c r="O127" s="303"/>
      <c r="P127" s="303"/>
      <c r="Q127" s="303"/>
      <c r="R127" s="303"/>
      <c r="S127" s="303"/>
      <c r="T127" s="303"/>
      <c r="U127" s="303"/>
      <c r="V127" s="304"/>
      <c r="W127" s="305">
        <f t="shared" si="20"/>
        <v>0</v>
      </c>
      <c r="X127" s="306">
        <f t="shared" si="21"/>
        <v>0</v>
      </c>
      <c r="Y127" s="306">
        <f t="shared" si="22"/>
        <v>0</v>
      </c>
      <c r="Z127" s="307">
        <f t="shared" si="23"/>
        <v>0</v>
      </c>
      <c r="AA127" s="291"/>
      <c r="AB127" s="201">
        <v>33</v>
      </c>
      <c r="AC127" s="63">
        <f t="shared" si="24"/>
        <v>0</v>
      </c>
      <c r="AD127" s="302"/>
      <c r="AE127" s="303"/>
      <c r="AF127" s="303"/>
      <c r="AG127" s="303"/>
      <c r="AH127" s="303"/>
      <c r="AI127" s="303"/>
      <c r="AJ127" s="303"/>
      <c r="AK127" s="303"/>
      <c r="AL127" s="303"/>
      <c r="AM127" s="303"/>
      <c r="AN127" s="303"/>
      <c r="AO127" s="303"/>
      <c r="AP127" s="303"/>
      <c r="AQ127" s="303"/>
      <c r="AR127" s="303"/>
      <c r="AS127" s="303"/>
      <c r="AT127" s="303"/>
      <c r="AU127" s="303"/>
      <c r="AV127" s="303"/>
      <c r="AW127" s="304"/>
      <c r="AX127" s="305">
        <f t="shared" si="25"/>
        <v>0</v>
      </c>
      <c r="AY127" s="306">
        <f t="shared" si="26"/>
        <v>0</v>
      </c>
      <c r="AZ127" s="306">
        <f t="shared" si="27"/>
        <v>0</v>
      </c>
      <c r="BA127" s="307">
        <f t="shared" si="28"/>
        <v>0</v>
      </c>
      <c r="BB127" s="291"/>
    </row>
    <row r="128" spans="1:54" ht="20.25" customHeight="1">
      <c r="A128" s="201">
        <v>34</v>
      </c>
      <c r="B128" s="63">
        <f t="shared" si="19"/>
        <v>0</v>
      </c>
      <c r="C128" s="302"/>
      <c r="D128" s="303"/>
      <c r="E128" s="303"/>
      <c r="F128" s="303"/>
      <c r="G128" s="303"/>
      <c r="H128" s="303"/>
      <c r="I128" s="303"/>
      <c r="J128" s="303"/>
      <c r="K128" s="303"/>
      <c r="L128" s="303"/>
      <c r="M128" s="303"/>
      <c r="N128" s="303"/>
      <c r="O128" s="303"/>
      <c r="P128" s="303"/>
      <c r="Q128" s="303"/>
      <c r="R128" s="303"/>
      <c r="S128" s="303"/>
      <c r="T128" s="303"/>
      <c r="U128" s="303"/>
      <c r="V128" s="304"/>
      <c r="W128" s="305">
        <f t="shared" si="20"/>
        <v>0</v>
      </c>
      <c r="X128" s="306">
        <f t="shared" si="21"/>
        <v>0</v>
      </c>
      <c r="Y128" s="306">
        <f t="shared" si="22"/>
        <v>0</v>
      </c>
      <c r="Z128" s="307">
        <f t="shared" si="23"/>
        <v>0</v>
      </c>
      <c r="AA128" s="291"/>
      <c r="AB128" s="201">
        <v>34</v>
      </c>
      <c r="AC128" s="63">
        <f t="shared" si="24"/>
        <v>0</v>
      </c>
      <c r="AD128" s="302"/>
      <c r="AE128" s="303"/>
      <c r="AF128" s="303"/>
      <c r="AG128" s="303"/>
      <c r="AH128" s="303"/>
      <c r="AI128" s="303"/>
      <c r="AJ128" s="303"/>
      <c r="AK128" s="303"/>
      <c r="AL128" s="303"/>
      <c r="AM128" s="303"/>
      <c r="AN128" s="303"/>
      <c r="AO128" s="303"/>
      <c r="AP128" s="303"/>
      <c r="AQ128" s="303"/>
      <c r="AR128" s="303"/>
      <c r="AS128" s="303"/>
      <c r="AT128" s="303"/>
      <c r="AU128" s="303"/>
      <c r="AV128" s="303"/>
      <c r="AW128" s="304"/>
      <c r="AX128" s="305">
        <f t="shared" si="25"/>
        <v>0</v>
      </c>
      <c r="AY128" s="306">
        <f t="shared" si="26"/>
        <v>0</v>
      </c>
      <c r="AZ128" s="306">
        <f t="shared" si="27"/>
        <v>0</v>
      </c>
      <c r="BA128" s="307">
        <f t="shared" si="28"/>
        <v>0</v>
      </c>
      <c r="BB128" s="291"/>
    </row>
    <row r="129" spans="1:54" ht="20.25" customHeight="1">
      <c r="A129" s="201">
        <v>35</v>
      </c>
      <c r="B129" s="64">
        <f t="shared" si="19"/>
        <v>0</v>
      </c>
      <c r="C129" s="308"/>
      <c r="D129" s="309"/>
      <c r="E129" s="309"/>
      <c r="F129" s="309"/>
      <c r="G129" s="309"/>
      <c r="H129" s="309"/>
      <c r="I129" s="309"/>
      <c r="J129" s="309"/>
      <c r="K129" s="309"/>
      <c r="L129" s="309"/>
      <c r="M129" s="309"/>
      <c r="N129" s="309"/>
      <c r="O129" s="309"/>
      <c r="P129" s="309"/>
      <c r="Q129" s="309"/>
      <c r="R129" s="309"/>
      <c r="S129" s="309"/>
      <c r="T129" s="309"/>
      <c r="U129" s="309"/>
      <c r="V129" s="310"/>
      <c r="W129" s="311">
        <f t="shared" si="20"/>
        <v>0</v>
      </c>
      <c r="X129" s="312">
        <f t="shared" si="21"/>
        <v>0</v>
      </c>
      <c r="Y129" s="312">
        <f t="shared" si="22"/>
        <v>0</v>
      </c>
      <c r="Z129" s="313">
        <f t="shared" si="23"/>
        <v>0</v>
      </c>
      <c r="AA129" s="291"/>
      <c r="AB129" s="201">
        <v>35</v>
      </c>
      <c r="AC129" s="64">
        <f t="shared" si="24"/>
        <v>0</v>
      </c>
      <c r="AD129" s="308"/>
      <c r="AE129" s="309"/>
      <c r="AF129" s="309"/>
      <c r="AG129" s="309"/>
      <c r="AH129" s="309"/>
      <c r="AI129" s="309"/>
      <c r="AJ129" s="309"/>
      <c r="AK129" s="309"/>
      <c r="AL129" s="309"/>
      <c r="AM129" s="309"/>
      <c r="AN129" s="309"/>
      <c r="AO129" s="309"/>
      <c r="AP129" s="309"/>
      <c r="AQ129" s="309"/>
      <c r="AR129" s="309"/>
      <c r="AS129" s="309"/>
      <c r="AT129" s="309"/>
      <c r="AU129" s="309"/>
      <c r="AV129" s="309"/>
      <c r="AW129" s="310"/>
      <c r="AX129" s="311">
        <f t="shared" si="25"/>
        <v>0</v>
      </c>
      <c r="AY129" s="312">
        <f t="shared" si="26"/>
        <v>0</v>
      </c>
      <c r="AZ129" s="312">
        <f t="shared" si="27"/>
        <v>0</v>
      </c>
      <c r="BA129" s="313">
        <f t="shared" si="28"/>
        <v>0</v>
      </c>
      <c r="BB129" s="291"/>
    </row>
    <row r="130" spans="1:54">
      <c r="A130" s="314"/>
      <c r="B130" s="292"/>
      <c r="C130" s="291"/>
      <c r="D130" s="291"/>
      <c r="E130" s="291"/>
      <c r="F130" s="291"/>
      <c r="G130" s="291"/>
      <c r="H130" s="291"/>
      <c r="I130" s="291"/>
      <c r="J130" s="291"/>
      <c r="K130" s="291"/>
      <c r="L130" s="291"/>
      <c r="M130" s="291"/>
      <c r="N130" s="291"/>
      <c r="O130" s="291"/>
      <c r="P130" s="291"/>
      <c r="Q130" s="291"/>
      <c r="R130" s="291"/>
      <c r="S130" s="291"/>
      <c r="T130" s="291"/>
      <c r="U130" s="291"/>
      <c r="V130" s="291"/>
      <c r="W130" s="291"/>
      <c r="X130" s="291"/>
      <c r="Y130" s="291"/>
      <c r="Z130" s="291"/>
      <c r="AA130" s="291"/>
      <c r="AB130" s="314"/>
      <c r="AC130" s="292"/>
      <c r="AD130" s="291"/>
      <c r="AE130" s="291"/>
      <c r="AF130" s="291"/>
      <c r="AG130" s="291"/>
      <c r="AH130" s="291"/>
      <c r="AI130" s="291"/>
      <c r="AJ130" s="291"/>
      <c r="AK130" s="291"/>
      <c r="AL130" s="291"/>
      <c r="AM130" s="291"/>
      <c r="AN130" s="291"/>
      <c r="AO130" s="291"/>
      <c r="AP130" s="291"/>
      <c r="AQ130" s="291"/>
      <c r="AR130" s="291"/>
      <c r="AS130" s="291"/>
      <c r="AT130" s="291"/>
      <c r="AU130" s="291"/>
      <c r="AV130" s="291"/>
      <c r="AW130" s="291"/>
      <c r="AX130" s="291"/>
      <c r="AY130" s="291"/>
      <c r="AZ130" s="291"/>
      <c r="BA130" s="291"/>
      <c r="BB130" s="291"/>
    </row>
    <row r="131" spans="1:54" ht="18">
      <c r="A131" s="67" t="s">
        <v>178</v>
      </c>
      <c r="B131" s="375" t="s">
        <v>81</v>
      </c>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43"/>
      <c r="AB131" s="67" t="s">
        <v>178</v>
      </c>
      <c r="AC131" s="375" t="s">
        <v>81</v>
      </c>
      <c r="AD131" s="375"/>
      <c r="AE131" s="375"/>
      <c r="AF131" s="375"/>
      <c r="AG131" s="375"/>
      <c r="AH131" s="375"/>
      <c r="AI131" s="375"/>
      <c r="AJ131" s="375"/>
      <c r="AK131" s="375"/>
      <c r="AL131" s="375"/>
      <c r="AM131" s="375"/>
      <c r="AN131" s="375"/>
      <c r="AO131" s="375"/>
      <c r="AP131" s="375"/>
      <c r="AQ131" s="375"/>
      <c r="AR131" s="375"/>
      <c r="AS131" s="375"/>
      <c r="AT131" s="375"/>
      <c r="AU131" s="375"/>
      <c r="AV131" s="375"/>
      <c r="AW131" s="375"/>
      <c r="AX131" s="375"/>
      <c r="AY131" s="375"/>
      <c r="AZ131" s="375"/>
      <c r="BA131" s="375"/>
      <c r="BB131" s="291"/>
    </row>
    <row r="132" spans="1:54" ht="23.25">
      <c r="A132" s="51"/>
      <c r="B132" s="376" t="s">
        <v>82</v>
      </c>
      <c r="C132" s="376"/>
      <c r="D132" s="376"/>
      <c r="E132" s="376"/>
      <c r="F132" s="376"/>
      <c r="G132" s="376"/>
      <c r="H132" s="376"/>
      <c r="I132" s="376"/>
      <c r="J132" s="376"/>
      <c r="K132" s="376"/>
      <c r="L132" s="376"/>
      <c r="M132" s="376"/>
      <c r="N132" s="376"/>
      <c r="O132" s="376"/>
      <c r="P132" s="376"/>
      <c r="Q132" s="376"/>
      <c r="R132" s="376"/>
      <c r="S132" s="376"/>
      <c r="T132" s="376"/>
      <c r="U132" s="376"/>
      <c r="V132" s="376"/>
      <c r="W132" s="376"/>
      <c r="X132" s="376"/>
      <c r="Y132" s="376"/>
      <c r="Z132" s="376"/>
      <c r="AA132" s="43"/>
      <c r="AB132" s="51"/>
      <c r="AC132" s="376" t="s">
        <v>82</v>
      </c>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291"/>
    </row>
    <row r="133" spans="1:54" s="290" customFormat="1" ht="20.25" customHeight="1">
      <c r="A133" s="51"/>
      <c r="B133" s="200" t="str">
        <f>CONCATENATE("ધોરણ - ",SCHOOL!$D$2)</f>
        <v>ધોરણ - 6</v>
      </c>
      <c r="C133" s="374" t="s">
        <v>105</v>
      </c>
      <c r="D133" s="374"/>
      <c r="E133" s="374"/>
      <c r="F133" s="374"/>
      <c r="G133" s="374"/>
      <c r="H133" s="374"/>
      <c r="I133" s="374"/>
      <c r="J133" s="374"/>
      <c r="K133" s="374" t="s">
        <v>84</v>
      </c>
      <c r="L133" s="374"/>
      <c r="M133" s="374"/>
      <c r="N133" s="374"/>
      <c r="O133" s="374"/>
      <c r="P133" s="374"/>
      <c r="Q133" s="374"/>
      <c r="R133" s="374" t="s">
        <v>85</v>
      </c>
      <c r="S133" s="374"/>
      <c r="T133" s="374"/>
      <c r="U133" s="374"/>
      <c r="V133" s="374"/>
      <c r="W133" s="374"/>
      <c r="X133" s="374"/>
      <c r="Y133" s="374">
        <f>COUNTA(C136:V136)</f>
        <v>1</v>
      </c>
      <c r="Z133" s="374"/>
      <c r="AA133" s="65"/>
      <c r="AB133" s="51"/>
      <c r="AC133" s="200" t="str">
        <f>CONCATENATE("ધોરણ - ",SCHOOL!$D$2)</f>
        <v>ધોરણ - 6</v>
      </c>
      <c r="AD133" s="374" t="str">
        <f>C133</f>
        <v xml:space="preserve"> વિષય-હિન્દી</v>
      </c>
      <c r="AE133" s="374"/>
      <c r="AF133" s="374"/>
      <c r="AG133" s="374"/>
      <c r="AH133" s="374"/>
      <c r="AI133" s="374"/>
      <c r="AJ133" s="374"/>
      <c r="AK133" s="374"/>
      <c r="AL133" s="374" t="s">
        <v>102</v>
      </c>
      <c r="AM133" s="374"/>
      <c r="AN133" s="374"/>
      <c r="AO133" s="374"/>
      <c r="AP133" s="374"/>
      <c r="AQ133" s="374"/>
      <c r="AR133" s="374"/>
      <c r="AS133" s="374" t="s">
        <v>85</v>
      </c>
      <c r="AT133" s="374"/>
      <c r="AU133" s="374"/>
      <c r="AV133" s="374"/>
      <c r="AW133" s="374"/>
      <c r="AX133" s="374"/>
      <c r="AY133" s="374"/>
      <c r="AZ133" s="374">
        <f>COUNTA(AD136:AW136)</f>
        <v>1</v>
      </c>
      <c r="BA133" s="374"/>
      <c r="BB133" s="292"/>
    </row>
    <row r="134" spans="1:54" ht="18.75" customHeight="1">
      <c r="A134" s="358"/>
      <c r="B134" s="359" t="s">
        <v>86</v>
      </c>
      <c r="C134" s="362" t="s">
        <v>87</v>
      </c>
      <c r="D134" s="363"/>
      <c r="E134" s="363"/>
      <c r="F134" s="363"/>
      <c r="G134" s="363"/>
      <c r="H134" s="363"/>
      <c r="I134" s="363"/>
      <c r="J134" s="363"/>
      <c r="K134" s="363"/>
      <c r="L134" s="363"/>
      <c r="M134" s="363"/>
      <c r="N134" s="363"/>
      <c r="O134" s="363"/>
      <c r="P134" s="363"/>
      <c r="Q134" s="363"/>
      <c r="R134" s="363"/>
      <c r="S134" s="363"/>
      <c r="T134" s="363"/>
      <c r="U134" s="363"/>
      <c r="V134" s="364"/>
      <c r="W134" s="365" t="s">
        <v>88</v>
      </c>
      <c r="X134" s="366"/>
      <c r="Y134" s="367"/>
      <c r="Z134" s="371" t="s">
        <v>90</v>
      </c>
      <c r="AA134" s="291"/>
      <c r="AB134" s="358"/>
      <c r="AC134" s="359" t="s">
        <v>86</v>
      </c>
      <c r="AD134" s="362" t="s">
        <v>87</v>
      </c>
      <c r="AE134" s="363"/>
      <c r="AF134" s="363"/>
      <c r="AG134" s="363"/>
      <c r="AH134" s="363"/>
      <c r="AI134" s="363"/>
      <c r="AJ134" s="363"/>
      <c r="AK134" s="363"/>
      <c r="AL134" s="363"/>
      <c r="AM134" s="363"/>
      <c r="AN134" s="363"/>
      <c r="AO134" s="363"/>
      <c r="AP134" s="363"/>
      <c r="AQ134" s="363"/>
      <c r="AR134" s="363"/>
      <c r="AS134" s="363"/>
      <c r="AT134" s="363"/>
      <c r="AU134" s="363"/>
      <c r="AV134" s="363"/>
      <c r="AW134" s="364"/>
      <c r="AX134" s="365" t="s">
        <v>88</v>
      </c>
      <c r="AY134" s="366"/>
      <c r="AZ134" s="367"/>
      <c r="BA134" s="371" t="s">
        <v>90</v>
      </c>
      <c r="BB134" s="291"/>
    </row>
    <row r="135" spans="1:54" ht="15" customHeight="1">
      <c r="A135" s="358"/>
      <c r="B135" s="360"/>
      <c r="C135" s="45">
        <v>1</v>
      </c>
      <c r="D135" s="46">
        <v>2</v>
      </c>
      <c r="E135" s="46">
        <v>3</v>
      </c>
      <c r="F135" s="46">
        <v>4</v>
      </c>
      <c r="G135" s="46">
        <v>5</v>
      </c>
      <c r="H135" s="46">
        <v>6</v>
      </c>
      <c r="I135" s="46">
        <v>7</v>
      </c>
      <c r="J135" s="46">
        <v>8</v>
      </c>
      <c r="K135" s="46">
        <v>9</v>
      </c>
      <c r="L135" s="46">
        <v>10</v>
      </c>
      <c r="M135" s="46">
        <v>11</v>
      </c>
      <c r="N135" s="46">
        <v>12</v>
      </c>
      <c r="O135" s="46">
        <v>13</v>
      </c>
      <c r="P135" s="46">
        <v>14</v>
      </c>
      <c r="Q135" s="46">
        <v>15</v>
      </c>
      <c r="R135" s="46">
        <v>16</v>
      </c>
      <c r="S135" s="46">
        <v>17</v>
      </c>
      <c r="T135" s="46">
        <v>18</v>
      </c>
      <c r="U135" s="46">
        <v>19</v>
      </c>
      <c r="V135" s="47">
        <v>20</v>
      </c>
      <c r="W135" s="368"/>
      <c r="X135" s="369"/>
      <c r="Y135" s="370"/>
      <c r="Z135" s="372"/>
      <c r="AA135" s="291"/>
      <c r="AB135" s="358"/>
      <c r="AC135" s="360"/>
      <c r="AD135" s="45">
        <v>1</v>
      </c>
      <c r="AE135" s="46">
        <v>2</v>
      </c>
      <c r="AF135" s="46">
        <v>3</v>
      </c>
      <c r="AG135" s="46">
        <v>4</v>
      </c>
      <c r="AH135" s="46">
        <v>5</v>
      </c>
      <c r="AI135" s="46">
        <v>6</v>
      </c>
      <c r="AJ135" s="46">
        <v>7</v>
      </c>
      <c r="AK135" s="46">
        <v>8</v>
      </c>
      <c r="AL135" s="46">
        <v>9</v>
      </c>
      <c r="AM135" s="46">
        <v>10</v>
      </c>
      <c r="AN135" s="46">
        <v>11</v>
      </c>
      <c r="AO135" s="46">
        <v>12</v>
      </c>
      <c r="AP135" s="46">
        <v>13</v>
      </c>
      <c r="AQ135" s="46">
        <v>14</v>
      </c>
      <c r="AR135" s="46">
        <v>15</v>
      </c>
      <c r="AS135" s="46">
        <v>16</v>
      </c>
      <c r="AT135" s="46">
        <v>17</v>
      </c>
      <c r="AU135" s="46">
        <v>18</v>
      </c>
      <c r="AV135" s="46">
        <v>19</v>
      </c>
      <c r="AW135" s="47">
        <v>20</v>
      </c>
      <c r="AX135" s="368"/>
      <c r="AY135" s="369"/>
      <c r="AZ135" s="370"/>
      <c r="BA135" s="372"/>
      <c r="BB135" s="291"/>
    </row>
    <row r="136" spans="1:54" ht="45" customHeight="1">
      <c r="A136" s="358"/>
      <c r="B136" s="361"/>
      <c r="C136" s="293" t="s">
        <v>80</v>
      </c>
      <c r="D136" s="294"/>
      <c r="E136" s="294"/>
      <c r="F136" s="294"/>
      <c r="G136" s="294"/>
      <c r="H136" s="294"/>
      <c r="I136" s="294"/>
      <c r="J136" s="294"/>
      <c r="K136" s="294"/>
      <c r="L136" s="294"/>
      <c r="M136" s="294"/>
      <c r="N136" s="294"/>
      <c r="O136" s="294"/>
      <c r="P136" s="294"/>
      <c r="Q136" s="294"/>
      <c r="R136" s="294"/>
      <c r="S136" s="294"/>
      <c r="T136" s="294"/>
      <c r="U136" s="294"/>
      <c r="V136" s="295"/>
      <c r="W136" s="48" t="s">
        <v>91</v>
      </c>
      <c r="X136" s="49" t="s">
        <v>92</v>
      </c>
      <c r="Y136" s="50" t="s">
        <v>89</v>
      </c>
      <c r="Z136" s="373"/>
      <c r="AA136" s="291"/>
      <c r="AB136" s="358"/>
      <c r="AC136" s="361"/>
      <c r="AD136" s="293" t="s">
        <v>80</v>
      </c>
      <c r="AE136" s="294"/>
      <c r="AF136" s="294"/>
      <c r="AG136" s="294"/>
      <c r="AH136" s="294"/>
      <c r="AI136" s="294"/>
      <c r="AJ136" s="294"/>
      <c r="AK136" s="294"/>
      <c r="AL136" s="294"/>
      <c r="AM136" s="294"/>
      <c r="AN136" s="294"/>
      <c r="AO136" s="294"/>
      <c r="AP136" s="294"/>
      <c r="AQ136" s="294"/>
      <c r="AR136" s="294"/>
      <c r="AS136" s="294"/>
      <c r="AT136" s="294"/>
      <c r="AU136" s="294"/>
      <c r="AV136" s="294"/>
      <c r="AW136" s="295"/>
      <c r="AX136" s="48" t="s">
        <v>91</v>
      </c>
      <c r="AY136" s="49" t="s">
        <v>92</v>
      </c>
      <c r="AZ136" s="50" t="s">
        <v>89</v>
      </c>
      <c r="BA136" s="373"/>
      <c r="BB136" s="291"/>
    </row>
    <row r="137" spans="1:54" ht="20.25" customHeight="1">
      <c r="A137" s="201">
        <v>1</v>
      </c>
      <c r="B137" s="62" t="str">
        <f>B11</f>
        <v>ગોહેલ રાજેશભાઇ ચીથરભાઇ</v>
      </c>
      <c r="C137" s="296" t="s">
        <v>91</v>
      </c>
      <c r="D137" s="297"/>
      <c r="E137" s="297"/>
      <c r="F137" s="297"/>
      <c r="G137" s="297"/>
      <c r="H137" s="297"/>
      <c r="I137" s="297"/>
      <c r="J137" s="297"/>
      <c r="K137" s="297"/>
      <c r="L137" s="297"/>
      <c r="M137" s="297"/>
      <c r="N137" s="297"/>
      <c r="O137" s="297"/>
      <c r="P137" s="297"/>
      <c r="Q137" s="297"/>
      <c r="R137" s="297"/>
      <c r="S137" s="297"/>
      <c r="T137" s="297"/>
      <c r="U137" s="297"/>
      <c r="V137" s="298"/>
      <c r="W137" s="299">
        <f>COUNTIF(C137:V137,"√")</f>
        <v>1</v>
      </c>
      <c r="X137" s="300">
        <f>COUNTIF(C137:V137," ?")</f>
        <v>0</v>
      </c>
      <c r="Y137" s="300">
        <f>COUNTIF(C137:V137,"X")</f>
        <v>0</v>
      </c>
      <c r="Z137" s="301">
        <f>ROUND((40/$Y$133)*W137,0)</f>
        <v>40</v>
      </c>
      <c r="AA137" s="291"/>
      <c r="AB137" s="201">
        <v>1</v>
      </c>
      <c r="AC137" s="62" t="str">
        <f>B137</f>
        <v>ગોહેલ રાજેશભાઇ ચીથરભાઇ</v>
      </c>
      <c r="AD137" s="296" t="s">
        <v>91</v>
      </c>
      <c r="AE137" s="297"/>
      <c r="AF137" s="297"/>
      <c r="AG137" s="297"/>
      <c r="AH137" s="297"/>
      <c r="AI137" s="297"/>
      <c r="AJ137" s="297"/>
      <c r="AK137" s="297"/>
      <c r="AL137" s="297"/>
      <c r="AM137" s="297"/>
      <c r="AN137" s="297"/>
      <c r="AO137" s="297"/>
      <c r="AP137" s="297"/>
      <c r="AQ137" s="297"/>
      <c r="AR137" s="297"/>
      <c r="AS137" s="297"/>
      <c r="AT137" s="297"/>
      <c r="AU137" s="297"/>
      <c r="AV137" s="297"/>
      <c r="AW137" s="298"/>
      <c r="AX137" s="299">
        <f>COUNTIF(AD137:AW137,"√")</f>
        <v>1</v>
      </c>
      <c r="AY137" s="300">
        <f>COUNTIF(AD137:AW137," ?")</f>
        <v>0</v>
      </c>
      <c r="AZ137" s="300">
        <f>COUNTIF(AD137:AW137,"X")</f>
        <v>0</v>
      </c>
      <c r="BA137" s="301">
        <f>ROUND((40/$AZ$133)*AX137,0)</f>
        <v>40</v>
      </c>
      <c r="BB137" s="291"/>
    </row>
    <row r="138" spans="1:54" ht="20.25" customHeight="1">
      <c r="A138" s="201">
        <v>2</v>
      </c>
      <c r="B138" s="63" t="str">
        <f t="shared" ref="B138:B171" si="29">B12</f>
        <v>ખિમસુરીયા સાહિલકુમાર અરજણભાઇ</v>
      </c>
      <c r="C138" s="302" t="s">
        <v>91</v>
      </c>
      <c r="D138" s="303"/>
      <c r="E138" s="303"/>
      <c r="F138" s="303"/>
      <c r="G138" s="303"/>
      <c r="H138" s="303"/>
      <c r="I138" s="303"/>
      <c r="J138" s="303"/>
      <c r="K138" s="303"/>
      <c r="L138" s="303"/>
      <c r="M138" s="303"/>
      <c r="N138" s="303"/>
      <c r="O138" s="303"/>
      <c r="P138" s="303"/>
      <c r="Q138" s="303"/>
      <c r="R138" s="303"/>
      <c r="S138" s="303"/>
      <c r="T138" s="303"/>
      <c r="U138" s="303"/>
      <c r="V138" s="304"/>
      <c r="W138" s="305">
        <f t="shared" ref="W138:W171" si="30">COUNTIF(C138:V138,"√")</f>
        <v>1</v>
      </c>
      <c r="X138" s="306">
        <f t="shared" ref="X138:X171" si="31">COUNTIF(C138:V138," ?")</f>
        <v>0</v>
      </c>
      <c r="Y138" s="306">
        <f t="shared" ref="Y138:Y171" si="32">COUNTIF(C138:V138,"X")</f>
        <v>0</v>
      </c>
      <c r="Z138" s="307">
        <f t="shared" ref="Z138:Z171" si="33">ROUND((40/$Y$133)*W138,0)</f>
        <v>40</v>
      </c>
      <c r="AA138" s="291"/>
      <c r="AB138" s="201">
        <v>2</v>
      </c>
      <c r="AC138" s="63" t="str">
        <f t="shared" ref="AC138:AC171" si="34">B138</f>
        <v>ખિમસુરીયા સાહિલકુમાર અરજણભાઇ</v>
      </c>
      <c r="AD138" s="302" t="s">
        <v>91</v>
      </c>
      <c r="AE138" s="303"/>
      <c r="AF138" s="303"/>
      <c r="AG138" s="303"/>
      <c r="AH138" s="303"/>
      <c r="AI138" s="303"/>
      <c r="AJ138" s="303"/>
      <c r="AK138" s="303"/>
      <c r="AL138" s="303"/>
      <c r="AM138" s="303"/>
      <c r="AN138" s="303"/>
      <c r="AO138" s="303"/>
      <c r="AP138" s="303"/>
      <c r="AQ138" s="303"/>
      <c r="AR138" s="303"/>
      <c r="AS138" s="303"/>
      <c r="AT138" s="303"/>
      <c r="AU138" s="303"/>
      <c r="AV138" s="303"/>
      <c r="AW138" s="304"/>
      <c r="AX138" s="305">
        <f t="shared" ref="AX138:AX171" si="35">COUNTIF(AD138:AW138,"√")</f>
        <v>1</v>
      </c>
      <c r="AY138" s="306">
        <f t="shared" ref="AY138:AY171" si="36">COUNTIF(AD138:AW138," ?")</f>
        <v>0</v>
      </c>
      <c r="AZ138" s="306">
        <f t="shared" ref="AZ138:AZ171" si="37">COUNTIF(AD138:AW138,"X")</f>
        <v>0</v>
      </c>
      <c r="BA138" s="307">
        <f t="shared" ref="BA138:BA171" si="38">ROUND((40/$AZ$133)*AX138,0)</f>
        <v>40</v>
      </c>
      <c r="BB138" s="291"/>
    </row>
    <row r="139" spans="1:54" ht="20.25" customHeight="1">
      <c r="A139" s="201">
        <v>3</v>
      </c>
      <c r="B139" s="63" t="str">
        <f t="shared" si="29"/>
        <v>ગરણિયા મયુરકુમાર અશોકભાઇ</v>
      </c>
      <c r="C139" s="302" t="s">
        <v>91</v>
      </c>
      <c r="D139" s="303"/>
      <c r="E139" s="303"/>
      <c r="F139" s="303"/>
      <c r="G139" s="303"/>
      <c r="H139" s="303"/>
      <c r="I139" s="303"/>
      <c r="J139" s="303"/>
      <c r="K139" s="303"/>
      <c r="L139" s="303"/>
      <c r="M139" s="303"/>
      <c r="N139" s="303"/>
      <c r="O139" s="303"/>
      <c r="P139" s="303"/>
      <c r="Q139" s="303"/>
      <c r="R139" s="303"/>
      <c r="S139" s="303"/>
      <c r="T139" s="303"/>
      <c r="U139" s="303"/>
      <c r="V139" s="304"/>
      <c r="W139" s="305">
        <f t="shared" si="30"/>
        <v>1</v>
      </c>
      <c r="X139" s="306">
        <f t="shared" si="31"/>
        <v>0</v>
      </c>
      <c r="Y139" s="306">
        <f t="shared" si="32"/>
        <v>0</v>
      </c>
      <c r="Z139" s="307">
        <f t="shared" si="33"/>
        <v>40</v>
      </c>
      <c r="AA139" s="291"/>
      <c r="AB139" s="201">
        <v>3</v>
      </c>
      <c r="AC139" s="63" t="str">
        <f t="shared" si="34"/>
        <v>ગરણિયા મયુરકુમાર અશોકભાઇ</v>
      </c>
      <c r="AD139" s="302" t="s">
        <v>91</v>
      </c>
      <c r="AE139" s="303"/>
      <c r="AF139" s="303"/>
      <c r="AG139" s="303"/>
      <c r="AH139" s="303"/>
      <c r="AI139" s="303"/>
      <c r="AJ139" s="303"/>
      <c r="AK139" s="303"/>
      <c r="AL139" s="303"/>
      <c r="AM139" s="303"/>
      <c r="AN139" s="303"/>
      <c r="AO139" s="303"/>
      <c r="AP139" s="303"/>
      <c r="AQ139" s="303"/>
      <c r="AR139" s="303"/>
      <c r="AS139" s="303"/>
      <c r="AT139" s="303"/>
      <c r="AU139" s="303"/>
      <c r="AV139" s="303"/>
      <c r="AW139" s="304"/>
      <c r="AX139" s="305">
        <f t="shared" si="35"/>
        <v>1</v>
      </c>
      <c r="AY139" s="306">
        <f t="shared" si="36"/>
        <v>0</v>
      </c>
      <c r="AZ139" s="306">
        <f t="shared" si="37"/>
        <v>0</v>
      </c>
      <c r="BA139" s="307">
        <f t="shared" si="38"/>
        <v>40</v>
      </c>
      <c r="BB139" s="291"/>
    </row>
    <row r="140" spans="1:54" ht="20.25" customHeight="1">
      <c r="A140" s="201">
        <v>4</v>
      </c>
      <c r="B140" s="63" t="str">
        <f t="shared" si="29"/>
        <v>ગરણિયા અલ્પેશકુમાર મેરામભાઇ</v>
      </c>
      <c r="C140" s="302" t="s">
        <v>91</v>
      </c>
      <c r="D140" s="303"/>
      <c r="E140" s="303"/>
      <c r="F140" s="303"/>
      <c r="G140" s="303"/>
      <c r="H140" s="303"/>
      <c r="I140" s="303"/>
      <c r="J140" s="303"/>
      <c r="K140" s="303"/>
      <c r="L140" s="303"/>
      <c r="M140" s="303"/>
      <c r="N140" s="303"/>
      <c r="O140" s="303"/>
      <c r="P140" s="303"/>
      <c r="Q140" s="303"/>
      <c r="R140" s="303"/>
      <c r="S140" s="303"/>
      <c r="T140" s="303"/>
      <c r="U140" s="303"/>
      <c r="V140" s="304"/>
      <c r="W140" s="305">
        <f t="shared" si="30"/>
        <v>1</v>
      </c>
      <c r="X140" s="306">
        <f t="shared" si="31"/>
        <v>0</v>
      </c>
      <c r="Y140" s="306">
        <f t="shared" si="32"/>
        <v>0</v>
      </c>
      <c r="Z140" s="307">
        <f t="shared" si="33"/>
        <v>40</v>
      </c>
      <c r="AA140" s="291"/>
      <c r="AB140" s="201">
        <v>4</v>
      </c>
      <c r="AC140" s="63" t="str">
        <f t="shared" si="34"/>
        <v>ગરણિયા અલ્પેશકુમાર મેરામભાઇ</v>
      </c>
      <c r="AD140" s="302" t="s">
        <v>91</v>
      </c>
      <c r="AE140" s="303"/>
      <c r="AF140" s="303"/>
      <c r="AG140" s="303"/>
      <c r="AH140" s="303"/>
      <c r="AI140" s="303"/>
      <c r="AJ140" s="303"/>
      <c r="AK140" s="303"/>
      <c r="AL140" s="303"/>
      <c r="AM140" s="303"/>
      <c r="AN140" s="303"/>
      <c r="AO140" s="303"/>
      <c r="AP140" s="303"/>
      <c r="AQ140" s="303"/>
      <c r="AR140" s="303"/>
      <c r="AS140" s="303"/>
      <c r="AT140" s="303"/>
      <c r="AU140" s="303"/>
      <c r="AV140" s="303"/>
      <c r="AW140" s="304"/>
      <c r="AX140" s="305">
        <f t="shared" si="35"/>
        <v>1</v>
      </c>
      <c r="AY140" s="306">
        <f t="shared" si="36"/>
        <v>0</v>
      </c>
      <c r="AZ140" s="306">
        <f t="shared" si="37"/>
        <v>0</v>
      </c>
      <c r="BA140" s="307">
        <f t="shared" si="38"/>
        <v>40</v>
      </c>
      <c r="BB140" s="291"/>
    </row>
    <row r="141" spans="1:54" ht="20.25" customHeight="1">
      <c r="A141" s="201">
        <v>5</v>
      </c>
      <c r="B141" s="63" t="str">
        <f t="shared" si="29"/>
        <v>ગરણિયા મિલન પોપટભાઇ</v>
      </c>
      <c r="C141" s="302" t="s">
        <v>91</v>
      </c>
      <c r="D141" s="303"/>
      <c r="E141" s="303"/>
      <c r="F141" s="303"/>
      <c r="G141" s="303"/>
      <c r="H141" s="303"/>
      <c r="I141" s="303"/>
      <c r="J141" s="303"/>
      <c r="K141" s="303"/>
      <c r="L141" s="303"/>
      <c r="M141" s="303"/>
      <c r="N141" s="303"/>
      <c r="O141" s="303"/>
      <c r="P141" s="303"/>
      <c r="Q141" s="303"/>
      <c r="R141" s="303"/>
      <c r="S141" s="303"/>
      <c r="T141" s="303"/>
      <c r="U141" s="303"/>
      <c r="V141" s="304"/>
      <c r="W141" s="305">
        <f t="shared" si="30"/>
        <v>1</v>
      </c>
      <c r="X141" s="306">
        <f t="shared" si="31"/>
        <v>0</v>
      </c>
      <c r="Y141" s="306">
        <f t="shared" si="32"/>
        <v>0</v>
      </c>
      <c r="Z141" s="307">
        <f t="shared" si="33"/>
        <v>40</v>
      </c>
      <c r="AA141" s="291"/>
      <c r="AB141" s="201">
        <v>5</v>
      </c>
      <c r="AC141" s="63" t="str">
        <f t="shared" si="34"/>
        <v>ગરણિયા મિલન પોપટભાઇ</v>
      </c>
      <c r="AD141" s="302" t="s">
        <v>91</v>
      </c>
      <c r="AE141" s="303"/>
      <c r="AF141" s="303"/>
      <c r="AG141" s="303"/>
      <c r="AH141" s="303"/>
      <c r="AI141" s="303"/>
      <c r="AJ141" s="303"/>
      <c r="AK141" s="303"/>
      <c r="AL141" s="303"/>
      <c r="AM141" s="303"/>
      <c r="AN141" s="303"/>
      <c r="AO141" s="303"/>
      <c r="AP141" s="303"/>
      <c r="AQ141" s="303"/>
      <c r="AR141" s="303"/>
      <c r="AS141" s="303"/>
      <c r="AT141" s="303"/>
      <c r="AU141" s="303"/>
      <c r="AV141" s="303"/>
      <c r="AW141" s="304"/>
      <c r="AX141" s="305">
        <f t="shared" si="35"/>
        <v>1</v>
      </c>
      <c r="AY141" s="306">
        <f t="shared" si="36"/>
        <v>0</v>
      </c>
      <c r="AZ141" s="306">
        <f t="shared" si="37"/>
        <v>0</v>
      </c>
      <c r="BA141" s="307">
        <f t="shared" si="38"/>
        <v>40</v>
      </c>
      <c r="BB141" s="291"/>
    </row>
    <row r="142" spans="1:54" ht="20.25" customHeight="1">
      <c r="A142" s="201">
        <v>6</v>
      </c>
      <c r="B142" s="63" t="str">
        <f t="shared" si="29"/>
        <v>ગરણિયા મોહિત રાવતભાઇ</v>
      </c>
      <c r="C142" s="302" t="s">
        <v>91</v>
      </c>
      <c r="D142" s="303"/>
      <c r="E142" s="303"/>
      <c r="F142" s="303"/>
      <c r="G142" s="303"/>
      <c r="H142" s="303"/>
      <c r="I142" s="303"/>
      <c r="J142" s="303"/>
      <c r="K142" s="303"/>
      <c r="L142" s="303"/>
      <c r="M142" s="303"/>
      <c r="N142" s="303"/>
      <c r="O142" s="303"/>
      <c r="P142" s="303"/>
      <c r="Q142" s="303"/>
      <c r="R142" s="303"/>
      <c r="S142" s="303"/>
      <c r="T142" s="303"/>
      <c r="U142" s="303"/>
      <c r="V142" s="304"/>
      <c r="W142" s="305">
        <f t="shared" si="30"/>
        <v>1</v>
      </c>
      <c r="X142" s="306">
        <f t="shared" si="31"/>
        <v>0</v>
      </c>
      <c r="Y142" s="306">
        <f t="shared" si="32"/>
        <v>0</v>
      </c>
      <c r="Z142" s="307">
        <f t="shared" si="33"/>
        <v>40</v>
      </c>
      <c r="AA142" s="291"/>
      <c r="AB142" s="201">
        <v>6</v>
      </c>
      <c r="AC142" s="63" t="str">
        <f t="shared" si="34"/>
        <v>ગરણિયા મોહિત રાવતભાઇ</v>
      </c>
      <c r="AD142" s="302" t="s">
        <v>91</v>
      </c>
      <c r="AE142" s="303"/>
      <c r="AF142" s="303"/>
      <c r="AG142" s="303"/>
      <c r="AH142" s="303"/>
      <c r="AI142" s="303"/>
      <c r="AJ142" s="303"/>
      <c r="AK142" s="303"/>
      <c r="AL142" s="303"/>
      <c r="AM142" s="303"/>
      <c r="AN142" s="303"/>
      <c r="AO142" s="303"/>
      <c r="AP142" s="303"/>
      <c r="AQ142" s="303"/>
      <c r="AR142" s="303"/>
      <c r="AS142" s="303"/>
      <c r="AT142" s="303"/>
      <c r="AU142" s="303"/>
      <c r="AV142" s="303"/>
      <c r="AW142" s="304"/>
      <c r="AX142" s="305">
        <f t="shared" si="35"/>
        <v>1</v>
      </c>
      <c r="AY142" s="306">
        <f t="shared" si="36"/>
        <v>0</v>
      </c>
      <c r="AZ142" s="306">
        <f t="shared" si="37"/>
        <v>0</v>
      </c>
      <c r="BA142" s="307">
        <f t="shared" si="38"/>
        <v>40</v>
      </c>
      <c r="BB142" s="291"/>
    </row>
    <row r="143" spans="1:54" ht="20.25" customHeight="1">
      <c r="A143" s="201">
        <v>7</v>
      </c>
      <c r="B143" s="63" t="str">
        <f t="shared" si="29"/>
        <v>ગરણિયા સુમિત પોપટભાઇ</v>
      </c>
      <c r="C143" s="302" t="s">
        <v>91</v>
      </c>
      <c r="D143" s="303"/>
      <c r="E143" s="303"/>
      <c r="F143" s="303"/>
      <c r="G143" s="303"/>
      <c r="H143" s="303"/>
      <c r="I143" s="303"/>
      <c r="J143" s="303"/>
      <c r="K143" s="303"/>
      <c r="L143" s="303"/>
      <c r="M143" s="303"/>
      <c r="N143" s="303"/>
      <c r="O143" s="303"/>
      <c r="P143" s="303"/>
      <c r="Q143" s="303"/>
      <c r="R143" s="303"/>
      <c r="S143" s="303"/>
      <c r="T143" s="303"/>
      <c r="U143" s="303"/>
      <c r="V143" s="304"/>
      <c r="W143" s="305">
        <f t="shared" si="30"/>
        <v>1</v>
      </c>
      <c r="X143" s="306">
        <f t="shared" si="31"/>
        <v>0</v>
      </c>
      <c r="Y143" s="306">
        <f t="shared" si="32"/>
        <v>0</v>
      </c>
      <c r="Z143" s="307">
        <f t="shared" si="33"/>
        <v>40</v>
      </c>
      <c r="AA143" s="291"/>
      <c r="AB143" s="201">
        <v>7</v>
      </c>
      <c r="AC143" s="63" t="str">
        <f t="shared" si="34"/>
        <v>ગરણિયા સુમિત પોપટભાઇ</v>
      </c>
      <c r="AD143" s="302" t="s">
        <v>91</v>
      </c>
      <c r="AE143" s="303"/>
      <c r="AF143" s="303"/>
      <c r="AG143" s="303"/>
      <c r="AH143" s="303"/>
      <c r="AI143" s="303"/>
      <c r="AJ143" s="303"/>
      <c r="AK143" s="303"/>
      <c r="AL143" s="303"/>
      <c r="AM143" s="303"/>
      <c r="AN143" s="303"/>
      <c r="AO143" s="303"/>
      <c r="AP143" s="303"/>
      <c r="AQ143" s="303"/>
      <c r="AR143" s="303"/>
      <c r="AS143" s="303"/>
      <c r="AT143" s="303"/>
      <c r="AU143" s="303"/>
      <c r="AV143" s="303"/>
      <c r="AW143" s="304"/>
      <c r="AX143" s="305">
        <f t="shared" si="35"/>
        <v>1</v>
      </c>
      <c r="AY143" s="306">
        <f t="shared" si="36"/>
        <v>0</v>
      </c>
      <c r="AZ143" s="306">
        <f t="shared" si="37"/>
        <v>0</v>
      </c>
      <c r="BA143" s="307">
        <f t="shared" si="38"/>
        <v>40</v>
      </c>
      <c r="BB143" s="291"/>
    </row>
    <row r="144" spans="1:54" ht="20.25" customHeight="1">
      <c r="A144" s="201">
        <v>8</v>
      </c>
      <c r="B144" s="63" t="str">
        <f t="shared" si="29"/>
        <v>ગરણિયા રામકુભાઇ સાર્દૂળભાઇ</v>
      </c>
      <c r="C144" s="302" t="s">
        <v>91</v>
      </c>
      <c r="D144" s="303"/>
      <c r="E144" s="303"/>
      <c r="F144" s="303"/>
      <c r="G144" s="303"/>
      <c r="H144" s="303"/>
      <c r="I144" s="303"/>
      <c r="J144" s="303"/>
      <c r="K144" s="303"/>
      <c r="L144" s="303"/>
      <c r="M144" s="303"/>
      <c r="N144" s="303"/>
      <c r="O144" s="303"/>
      <c r="P144" s="303"/>
      <c r="Q144" s="303"/>
      <c r="R144" s="303"/>
      <c r="S144" s="303"/>
      <c r="T144" s="303"/>
      <c r="U144" s="303"/>
      <c r="V144" s="304"/>
      <c r="W144" s="305">
        <f t="shared" si="30"/>
        <v>1</v>
      </c>
      <c r="X144" s="306">
        <f t="shared" si="31"/>
        <v>0</v>
      </c>
      <c r="Y144" s="306">
        <f t="shared" si="32"/>
        <v>0</v>
      </c>
      <c r="Z144" s="307">
        <f t="shared" si="33"/>
        <v>40</v>
      </c>
      <c r="AA144" s="291"/>
      <c r="AB144" s="201">
        <v>8</v>
      </c>
      <c r="AC144" s="63" t="str">
        <f t="shared" si="34"/>
        <v>ગરણિયા રામકુભાઇ સાર્દૂળભાઇ</v>
      </c>
      <c r="AD144" s="302" t="s">
        <v>91</v>
      </c>
      <c r="AE144" s="303"/>
      <c r="AF144" s="303"/>
      <c r="AG144" s="303"/>
      <c r="AH144" s="303"/>
      <c r="AI144" s="303"/>
      <c r="AJ144" s="303"/>
      <c r="AK144" s="303"/>
      <c r="AL144" s="303"/>
      <c r="AM144" s="303"/>
      <c r="AN144" s="303"/>
      <c r="AO144" s="303"/>
      <c r="AP144" s="303"/>
      <c r="AQ144" s="303"/>
      <c r="AR144" s="303"/>
      <c r="AS144" s="303"/>
      <c r="AT144" s="303"/>
      <c r="AU144" s="303"/>
      <c r="AV144" s="303"/>
      <c r="AW144" s="304"/>
      <c r="AX144" s="305">
        <f t="shared" si="35"/>
        <v>1</v>
      </c>
      <c r="AY144" s="306">
        <f t="shared" si="36"/>
        <v>0</v>
      </c>
      <c r="AZ144" s="306">
        <f t="shared" si="37"/>
        <v>0</v>
      </c>
      <c r="BA144" s="307">
        <f t="shared" si="38"/>
        <v>40</v>
      </c>
      <c r="BB144" s="291"/>
    </row>
    <row r="145" spans="1:54" ht="20.25" customHeight="1">
      <c r="A145" s="201">
        <v>9</v>
      </c>
      <c r="B145" s="63" t="str">
        <f t="shared" si="29"/>
        <v>ડેર હિતેષકુમાર પ્રતાપભાઇ</v>
      </c>
      <c r="C145" s="302" t="s">
        <v>91</v>
      </c>
      <c r="D145" s="303"/>
      <c r="E145" s="303"/>
      <c r="F145" s="303"/>
      <c r="G145" s="303"/>
      <c r="H145" s="303"/>
      <c r="I145" s="303"/>
      <c r="J145" s="303"/>
      <c r="K145" s="303"/>
      <c r="L145" s="303"/>
      <c r="M145" s="303"/>
      <c r="N145" s="303"/>
      <c r="O145" s="303"/>
      <c r="P145" s="303"/>
      <c r="Q145" s="303"/>
      <c r="R145" s="303"/>
      <c r="S145" s="303"/>
      <c r="T145" s="303"/>
      <c r="U145" s="303"/>
      <c r="V145" s="304"/>
      <c r="W145" s="305">
        <f t="shared" si="30"/>
        <v>1</v>
      </c>
      <c r="X145" s="306">
        <f t="shared" si="31"/>
        <v>0</v>
      </c>
      <c r="Y145" s="306">
        <f t="shared" si="32"/>
        <v>0</v>
      </c>
      <c r="Z145" s="307">
        <f t="shared" si="33"/>
        <v>40</v>
      </c>
      <c r="AA145" s="291"/>
      <c r="AB145" s="201">
        <v>9</v>
      </c>
      <c r="AC145" s="63" t="str">
        <f t="shared" si="34"/>
        <v>ડેર હિતેષકુમાર પ્રતાપભાઇ</v>
      </c>
      <c r="AD145" s="302" t="s">
        <v>91</v>
      </c>
      <c r="AE145" s="303"/>
      <c r="AF145" s="303"/>
      <c r="AG145" s="303"/>
      <c r="AH145" s="303"/>
      <c r="AI145" s="303"/>
      <c r="AJ145" s="303"/>
      <c r="AK145" s="303"/>
      <c r="AL145" s="303"/>
      <c r="AM145" s="303"/>
      <c r="AN145" s="303"/>
      <c r="AO145" s="303"/>
      <c r="AP145" s="303"/>
      <c r="AQ145" s="303"/>
      <c r="AR145" s="303"/>
      <c r="AS145" s="303"/>
      <c r="AT145" s="303"/>
      <c r="AU145" s="303"/>
      <c r="AV145" s="303"/>
      <c r="AW145" s="304"/>
      <c r="AX145" s="305">
        <f t="shared" si="35"/>
        <v>1</v>
      </c>
      <c r="AY145" s="306">
        <f t="shared" si="36"/>
        <v>0</v>
      </c>
      <c r="AZ145" s="306">
        <f t="shared" si="37"/>
        <v>0</v>
      </c>
      <c r="BA145" s="307">
        <f t="shared" si="38"/>
        <v>40</v>
      </c>
      <c r="BB145" s="291"/>
    </row>
    <row r="146" spans="1:54" ht="20.25" customHeight="1">
      <c r="A146" s="201">
        <v>10</v>
      </c>
      <c r="B146" s="63" t="str">
        <f t="shared" si="29"/>
        <v>વેકરીયા વિશાલકુમાર દિપકભાઇ</v>
      </c>
      <c r="C146" s="302" t="s">
        <v>91</v>
      </c>
      <c r="D146" s="303"/>
      <c r="E146" s="303"/>
      <c r="F146" s="303"/>
      <c r="G146" s="303"/>
      <c r="H146" s="303"/>
      <c r="I146" s="303"/>
      <c r="J146" s="303"/>
      <c r="K146" s="303"/>
      <c r="L146" s="303"/>
      <c r="M146" s="303"/>
      <c r="N146" s="303"/>
      <c r="O146" s="303"/>
      <c r="P146" s="303"/>
      <c r="Q146" s="303"/>
      <c r="R146" s="303"/>
      <c r="S146" s="303"/>
      <c r="T146" s="303"/>
      <c r="U146" s="303"/>
      <c r="V146" s="304"/>
      <c r="W146" s="305">
        <f t="shared" si="30"/>
        <v>1</v>
      </c>
      <c r="X146" s="306">
        <f t="shared" si="31"/>
        <v>0</v>
      </c>
      <c r="Y146" s="306">
        <f t="shared" si="32"/>
        <v>0</v>
      </c>
      <c r="Z146" s="307">
        <f t="shared" si="33"/>
        <v>40</v>
      </c>
      <c r="AA146" s="291"/>
      <c r="AB146" s="201">
        <v>10</v>
      </c>
      <c r="AC146" s="63" t="str">
        <f t="shared" si="34"/>
        <v>વેકરીયા વિશાલકુમાર દિપકભાઇ</v>
      </c>
      <c r="AD146" s="302" t="s">
        <v>91</v>
      </c>
      <c r="AE146" s="303"/>
      <c r="AF146" s="303"/>
      <c r="AG146" s="303"/>
      <c r="AH146" s="303"/>
      <c r="AI146" s="303"/>
      <c r="AJ146" s="303"/>
      <c r="AK146" s="303"/>
      <c r="AL146" s="303"/>
      <c r="AM146" s="303"/>
      <c r="AN146" s="303"/>
      <c r="AO146" s="303"/>
      <c r="AP146" s="303"/>
      <c r="AQ146" s="303"/>
      <c r="AR146" s="303"/>
      <c r="AS146" s="303"/>
      <c r="AT146" s="303"/>
      <c r="AU146" s="303"/>
      <c r="AV146" s="303"/>
      <c r="AW146" s="304"/>
      <c r="AX146" s="305">
        <f t="shared" si="35"/>
        <v>1</v>
      </c>
      <c r="AY146" s="306">
        <f t="shared" si="36"/>
        <v>0</v>
      </c>
      <c r="AZ146" s="306">
        <f t="shared" si="37"/>
        <v>0</v>
      </c>
      <c r="BA146" s="307">
        <f t="shared" si="38"/>
        <v>40</v>
      </c>
      <c r="BB146" s="291"/>
    </row>
    <row r="147" spans="1:54" ht="20.25" customHeight="1">
      <c r="A147" s="201">
        <v>11</v>
      </c>
      <c r="B147" s="63" t="str">
        <f t="shared" si="29"/>
        <v>માણસુરીયા મહેન્દ્રભાઇ ભૂપતભાઇ</v>
      </c>
      <c r="C147" s="302" t="s">
        <v>91</v>
      </c>
      <c r="D147" s="303"/>
      <c r="E147" s="303"/>
      <c r="F147" s="303"/>
      <c r="G147" s="303"/>
      <c r="H147" s="303"/>
      <c r="I147" s="303"/>
      <c r="J147" s="303"/>
      <c r="K147" s="303"/>
      <c r="L147" s="303"/>
      <c r="M147" s="303"/>
      <c r="N147" s="303"/>
      <c r="O147" s="303"/>
      <c r="P147" s="303"/>
      <c r="Q147" s="303"/>
      <c r="R147" s="303"/>
      <c r="S147" s="303"/>
      <c r="T147" s="303"/>
      <c r="U147" s="303"/>
      <c r="V147" s="304"/>
      <c r="W147" s="305">
        <f t="shared" si="30"/>
        <v>1</v>
      </c>
      <c r="X147" s="306">
        <f t="shared" si="31"/>
        <v>0</v>
      </c>
      <c r="Y147" s="306">
        <f t="shared" si="32"/>
        <v>0</v>
      </c>
      <c r="Z147" s="307">
        <f t="shared" si="33"/>
        <v>40</v>
      </c>
      <c r="AA147" s="291"/>
      <c r="AB147" s="201">
        <v>11</v>
      </c>
      <c r="AC147" s="63" t="str">
        <f t="shared" si="34"/>
        <v>માણસુરીયા મહેન્દ્રભાઇ ભૂપતભાઇ</v>
      </c>
      <c r="AD147" s="302" t="s">
        <v>91</v>
      </c>
      <c r="AE147" s="303"/>
      <c r="AF147" s="303"/>
      <c r="AG147" s="303"/>
      <c r="AH147" s="303"/>
      <c r="AI147" s="303"/>
      <c r="AJ147" s="303"/>
      <c r="AK147" s="303"/>
      <c r="AL147" s="303"/>
      <c r="AM147" s="303"/>
      <c r="AN147" s="303"/>
      <c r="AO147" s="303"/>
      <c r="AP147" s="303"/>
      <c r="AQ147" s="303"/>
      <c r="AR147" s="303"/>
      <c r="AS147" s="303"/>
      <c r="AT147" s="303"/>
      <c r="AU147" s="303"/>
      <c r="AV147" s="303"/>
      <c r="AW147" s="304"/>
      <c r="AX147" s="305">
        <f t="shared" si="35"/>
        <v>1</v>
      </c>
      <c r="AY147" s="306">
        <f t="shared" si="36"/>
        <v>0</v>
      </c>
      <c r="AZ147" s="306">
        <f t="shared" si="37"/>
        <v>0</v>
      </c>
      <c r="BA147" s="307">
        <f t="shared" si="38"/>
        <v>40</v>
      </c>
      <c r="BB147" s="291"/>
    </row>
    <row r="148" spans="1:54" ht="20.25" customHeight="1">
      <c r="A148" s="201">
        <v>12</v>
      </c>
      <c r="B148" s="63" t="str">
        <f t="shared" si="29"/>
        <v>પરમાર અજયકુમાર રમેશભાઇ</v>
      </c>
      <c r="C148" s="302" t="s">
        <v>91</v>
      </c>
      <c r="D148" s="303"/>
      <c r="E148" s="303"/>
      <c r="F148" s="303"/>
      <c r="G148" s="303"/>
      <c r="H148" s="303"/>
      <c r="I148" s="303"/>
      <c r="J148" s="303"/>
      <c r="K148" s="303"/>
      <c r="L148" s="303"/>
      <c r="M148" s="303"/>
      <c r="N148" s="303"/>
      <c r="O148" s="303"/>
      <c r="P148" s="303"/>
      <c r="Q148" s="303"/>
      <c r="R148" s="303"/>
      <c r="S148" s="303"/>
      <c r="T148" s="303"/>
      <c r="U148" s="303"/>
      <c r="V148" s="304"/>
      <c r="W148" s="305">
        <f t="shared" si="30"/>
        <v>1</v>
      </c>
      <c r="X148" s="306">
        <f t="shared" si="31"/>
        <v>0</v>
      </c>
      <c r="Y148" s="306">
        <f t="shared" si="32"/>
        <v>0</v>
      </c>
      <c r="Z148" s="307">
        <f t="shared" si="33"/>
        <v>40</v>
      </c>
      <c r="AA148" s="291"/>
      <c r="AB148" s="201">
        <v>12</v>
      </c>
      <c r="AC148" s="63" t="str">
        <f t="shared" si="34"/>
        <v>પરમાર અજયકુમાર રમેશભાઇ</v>
      </c>
      <c r="AD148" s="302" t="s">
        <v>91</v>
      </c>
      <c r="AE148" s="303"/>
      <c r="AF148" s="303"/>
      <c r="AG148" s="303"/>
      <c r="AH148" s="303"/>
      <c r="AI148" s="303"/>
      <c r="AJ148" s="303"/>
      <c r="AK148" s="303"/>
      <c r="AL148" s="303"/>
      <c r="AM148" s="303"/>
      <c r="AN148" s="303"/>
      <c r="AO148" s="303"/>
      <c r="AP148" s="303"/>
      <c r="AQ148" s="303"/>
      <c r="AR148" s="303"/>
      <c r="AS148" s="303"/>
      <c r="AT148" s="303"/>
      <c r="AU148" s="303"/>
      <c r="AV148" s="303"/>
      <c r="AW148" s="304"/>
      <c r="AX148" s="305">
        <f t="shared" si="35"/>
        <v>1</v>
      </c>
      <c r="AY148" s="306">
        <f t="shared" si="36"/>
        <v>0</v>
      </c>
      <c r="AZ148" s="306">
        <f t="shared" si="37"/>
        <v>0</v>
      </c>
      <c r="BA148" s="307">
        <f t="shared" si="38"/>
        <v>40</v>
      </c>
      <c r="BB148" s="291"/>
    </row>
    <row r="149" spans="1:54" ht="20.25" customHeight="1">
      <c r="A149" s="201">
        <v>13</v>
      </c>
      <c r="B149" s="63" t="str">
        <f t="shared" si="29"/>
        <v>કંડોળીયા અલ્પેશકુમાર ભરતભાઇ</v>
      </c>
      <c r="C149" s="302" t="s">
        <v>92</v>
      </c>
      <c r="D149" s="303"/>
      <c r="E149" s="303"/>
      <c r="F149" s="303"/>
      <c r="G149" s="303"/>
      <c r="H149" s="303"/>
      <c r="I149" s="303"/>
      <c r="J149" s="303"/>
      <c r="K149" s="303"/>
      <c r="L149" s="303"/>
      <c r="M149" s="303"/>
      <c r="N149" s="303"/>
      <c r="O149" s="303"/>
      <c r="P149" s="303"/>
      <c r="Q149" s="303"/>
      <c r="R149" s="303"/>
      <c r="S149" s="303"/>
      <c r="T149" s="303"/>
      <c r="U149" s="303"/>
      <c r="V149" s="304"/>
      <c r="W149" s="305">
        <f t="shared" si="30"/>
        <v>0</v>
      </c>
      <c r="X149" s="306">
        <f t="shared" si="31"/>
        <v>1</v>
      </c>
      <c r="Y149" s="306">
        <f t="shared" si="32"/>
        <v>0</v>
      </c>
      <c r="Z149" s="307">
        <f t="shared" si="33"/>
        <v>0</v>
      </c>
      <c r="AA149" s="291"/>
      <c r="AB149" s="201">
        <v>13</v>
      </c>
      <c r="AC149" s="63" t="str">
        <f t="shared" si="34"/>
        <v>કંડોળીયા અલ્પેશકુમાર ભરતભાઇ</v>
      </c>
      <c r="AD149" s="302" t="s">
        <v>92</v>
      </c>
      <c r="AE149" s="303"/>
      <c r="AF149" s="303"/>
      <c r="AG149" s="303"/>
      <c r="AH149" s="303"/>
      <c r="AI149" s="303"/>
      <c r="AJ149" s="303"/>
      <c r="AK149" s="303"/>
      <c r="AL149" s="303"/>
      <c r="AM149" s="303"/>
      <c r="AN149" s="303"/>
      <c r="AO149" s="303"/>
      <c r="AP149" s="303"/>
      <c r="AQ149" s="303"/>
      <c r="AR149" s="303"/>
      <c r="AS149" s="303"/>
      <c r="AT149" s="303"/>
      <c r="AU149" s="303"/>
      <c r="AV149" s="303"/>
      <c r="AW149" s="304"/>
      <c r="AX149" s="305">
        <f t="shared" si="35"/>
        <v>0</v>
      </c>
      <c r="AY149" s="306">
        <f t="shared" si="36"/>
        <v>1</v>
      </c>
      <c r="AZ149" s="306">
        <f t="shared" si="37"/>
        <v>0</v>
      </c>
      <c r="BA149" s="307">
        <f t="shared" si="38"/>
        <v>0</v>
      </c>
      <c r="BB149" s="291"/>
    </row>
    <row r="150" spans="1:54" ht="20.25" customHeight="1">
      <c r="A150" s="201">
        <v>14</v>
      </c>
      <c r="B150" s="63" t="str">
        <f t="shared" si="29"/>
        <v>મકવાણા તરંગકુમાર કિશોરભાઇ</v>
      </c>
      <c r="C150" s="302" t="s">
        <v>91</v>
      </c>
      <c r="D150" s="303"/>
      <c r="E150" s="303"/>
      <c r="F150" s="303"/>
      <c r="G150" s="303"/>
      <c r="H150" s="303"/>
      <c r="I150" s="303"/>
      <c r="J150" s="303"/>
      <c r="K150" s="303"/>
      <c r="L150" s="303"/>
      <c r="M150" s="303"/>
      <c r="N150" s="303"/>
      <c r="O150" s="303"/>
      <c r="P150" s="303"/>
      <c r="Q150" s="303"/>
      <c r="R150" s="303"/>
      <c r="S150" s="303"/>
      <c r="T150" s="303"/>
      <c r="U150" s="303"/>
      <c r="V150" s="304"/>
      <c r="W150" s="305">
        <f t="shared" si="30"/>
        <v>1</v>
      </c>
      <c r="X150" s="306">
        <f t="shared" si="31"/>
        <v>0</v>
      </c>
      <c r="Y150" s="306">
        <f t="shared" si="32"/>
        <v>0</v>
      </c>
      <c r="Z150" s="307">
        <f t="shared" si="33"/>
        <v>40</v>
      </c>
      <c r="AA150" s="291"/>
      <c r="AB150" s="201">
        <v>14</v>
      </c>
      <c r="AC150" s="63" t="str">
        <f t="shared" si="34"/>
        <v>મકવાણા તરંગકુમાર કિશોરભાઇ</v>
      </c>
      <c r="AD150" s="302" t="s">
        <v>91</v>
      </c>
      <c r="AE150" s="303"/>
      <c r="AF150" s="303"/>
      <c r="AG150" s="303"/>
      <c r="AH150" s="303"/>
      <c r="AI150" s="303"/>
      <c r="AJ150" s="303"/>
      <c r="AK150" s="303"/>
      <c r="AL150" s="303"/>
      <c r="AM150" s="303"/>
      <c r="AN150" s="303"/>
      <c r="AO150" s="303"/>
      <c r="AP150" s="303"/>
      <c r="AQ150" s="303"/>
      <c r="AR150" s="303"/>
      <c r="AS150" s="303"/>
      <c r="AT150" s="303"/>
      <c r="AU150" s="303"/>
      <c r="AV150" s="303"/>
      <c r="AW150" s="304"/>
      <c r="AX150" s="305">
        <f t="shared" si="35"/>
        <v>1</v>
      </c>
      <c r="AY150" s="306">
        <f t="shared" si="36"/>
        <v>0</v>
      </c>
      <c r="AZ150" s="306">
        <f t="shared" si="37"/>
        <v>0</v>
      </c>
      <c r="BA150" s="307">
        <f t="shared" si="38"/>
        <v>40</v>
      </c>
      <c r="BB150" s="291"/>
    </row>
    <row r="151" spans="1:54" ht="20.25" customHeight="1">
      <c r="A151" s="201">
        <v>15</v>
      </c>
      <c r="B151" s="63" t="str">
        <f t="shared" si="29"/>
        <v>ઢીમેચા સતીષ હનુભાઇ</v>
      </c>
      <c r="C151" s="302" t="s">
        <v>91</v>
      </c>
      <c r="D151" s="303"/>
      <c r="E151" s="303"/>
      <c r="F151" s="303"/>
      <c r="G151" s="303"/>
      <c r="H151" s="303"/>
      <c r="I151" s="303"/>
      <c r="J151" s="303"/>
      <c r="K151" s="303"/>
      <c r="L151" s="303"/>
      <c r="M151" s="303"/>
      <c r="N151" s="303"/>
      <c r="O151" s="303"/>
      <c r="P151" s="303"/>
      <c r="Q151" s="303"/>
      <c r="R151" s="303"/>
      <c r="S151" s="303"/>
      <c r="T151" s="303"/>
      <c r="U151" s="303"/>
      <c r="V151" s="304"/>
      <c r="W151" s="305">
        <f t="shared" si="30"/>
        <v>1</v>
      </c>
      <c r="X151" s="306">
        <f t="shared" si="31"/>
        <v>0</v>
      </c>
      <c r="Y151" s="306">
        <f t="shared" si="32"/>
        <v>0</v>
      </c>
      <c r="Z151" s="307">
        <f t="shared" si="33"/>
        <v>40</v>
      </c>
      <c r="AA151" s="291"/>
      <c r="AB151" s="201">
        <v>15</v>
      </c>
      <c r="AC151" s="63" t="str">
        <f t="shared" si="34"/>
        <v>ઢીમેચા સતીષ હનુભાઇ</v>
      </c>
      <c r="AD151" s="302" t="s">
        <v>91</v>
      </c>
      <c r="AE151" s="303"/>
      <c r="AF151" s="303"/>
      <c r="AG151" s="303"/>
      <c r="AH151" s="303"/>
      <c r="AI151" s="303"/>
      <c r="AJ151" s="303"/>
      <c r="AK151" s="303"/>
      <c r="AL151" s="303"/>
      <c r="AM151" s="303"/>
      <c r="AN151" s="303"/>
      <c r="AO151" s="303"/>
      <c r="AP151" s="303"/>
      <c r="AQ151" s="303"/>
      <c r="AR151" s="303"/>
      <c r="AS151" s="303"/>
      <c r="AT151" s="303"/>
      <c r="AU151" s="303"/>
      <c r="AV151" s="303"/>
      <c r="AW151" s="304"/>
      <c r="AX151" s="305">
        <f t="shared" si="35"/>
        <v>1</v>
      </c>
      <c r="AY151" s="306">
        <f t="shared" si="36"/>
        <v>0</v>
      </c>
      <c r="AZ151" s="306">
        <f t="shared" si="37"/>
        <v>0</v>
      </c>
      <c r="BA151" s="307">
        <f t="shared" si="38"/>
        <v>40</v>
      </c>
      <c r="BB151" s="291"/>
    </row>
    <row r="152" spans="1:54" ht="20.25" customHeight="1">
      <c r="A152" s="201">
        <v>16</v>
      </c>
      <c r="B152" s="63" t="str">
        <f t="shared" si="29"/>
        <v>ખુમાણ શિવરાજભાઇ બાબુભાઇ</v>
      </c>
      <c r="C152" s="302" t="s">
        <v>91</v>
      </c>
      <c r="D152" s="303"/>
      <c r="E152" s="303"/>
      <c r="F152" s="303"/>
      <c r="G152" s="303"/>
      <c r="H152" s="303"/>
      <c r="I152" s="303"/>
      <c r="J152" s="303"/>
      <c r="K152" s="303"/>
      <c r="L152" s="303"/>
      <c r="M152" s="303"/>
      <c r="N152" s="303"/>
      <c r="O152" s="303"/>
      <c r="P152" s="303"/>
      <c r="Q152" s="303"/>
      <c r="R152" s="303"/>
      <c r="S152" s="303"/>
      <c r="T152" s="303"/>
      <c r="U152" s="303"/>
      <c r="V152" s="304"/>
      <c r="W152" s="305">
        <f t="shared" si="30"/>
        <v>1</v>
      </c>
      <c r="X152" s="306">
        <f t="shared" si="31"/>
        <v>0</v>
      </c>
      <c r="Y152" s="306">
        <f t="shared" si="32"/>
        <v>0</v>
      </c>
      <c r="Z152" s="307">
        <f t="shared" si="33"/>
        <v>40</v>
      </c>
      <c r="AA152" s="291"/>
      <c r="AB152" s="201">
        <v>16</v>
      </c>
      <c r="AC152" s="63" t="str">
        <f t="shared" si="34"/>
        <v>ખુમાણ શિવરાજભાઇ બાબુભાઇ</v>
      </c>
      <c r="AD152" s="302" t="s">
        <v>91</v>
      </c>
      <c r="AE152" s="303"/>
      <c r="AF152" s="303"/>
      <c r="AG152" s="303"/>
      <c r="AH152" s="303"/>
      <c r="AI152" s="303"/>
      <c r="AJ152" s="303"/>
      <c r="AK152" s="303"/>
      <c r="AL152" s="303"/>
      <c r="AM152" s="303"/>
      <c r="AN152" s="303"/>
      <c r="AO152" s="303"/>
      <c r="AP152" s="303"/>
      <c r="AQ152" s="303"/>
      <c r="AR152" s="303"/>
      <c r="AS152" s="303"/>
      <c r="AT152" s="303"/>
      <c r="AU152" s="303"/>
      <c r="AV152" s="303"/>
      <c r="AW152" s="304"/>
      <c r="AX152" s="305">
        <f t="shared" si="35"/>
        <v>1</v>
      </c>
      <c r="AY152" s="306">
        <f t="shared" si="36"/>
        <v>0</v>
      </c>
      <c r="AZ152" s="306">
        <f t="shared" si="37"/>
        <v>0</v>
      </c>
      <c r="BA152" s="307">
        <f t="shared" si="38"/>
        <v>40</v>
      </c>
      <c r="BB152" s="291"/>
    </row>
    <row r="153" spans="1:54" ht="20.25" customHeight="1">
      <c r="A153" s="201">
        <v>17</v>
      </c>
      <c r="B153" s="63" t="str">
        <f t="shared" si="29"/>
        <v>માથાસુરીયા દિનેશભાઇ અમરાભાઇ</v>
      </c>
      <c r="C153" s="302" t="s">
        <v>91</v>
      </c>
      <c r="D153" s="303"/>
      <c r="E153" s="303"/>
      <c r="F153" s="303"/>
      <c r="G153" s="303"/>
      <c r="H153" s="303"/>
      <c r="I153" s="303"/>
      <c r="J153" s="303"/>
      <c r="K153" s="303"/>
      <c r="L153" s="303"/>
      <c r="M153" s="303"/>
      <c r="N153" s="303"/>
      <c r="O153" s="303"/>
      <c r="P153" s="303"/>
      <c r="Q153" s="303"/>
      <c r="R153" s="303"/>
      <c r="S153" s="303"/>
      <c r="T153" s="303"/>
      <c r="U153" s="303"/>
      <c r="V153" s="304"/>
      <c r="W153" s="305">
        <f t="shared" si="30"/>
        <v>1</v>
      </c>
      <c r="X153" s="306">
        <f t="shared" si="31"/>
        <v>0</v>
      </c>
      <c r="Y153" s="306">
        <f t="shared" si="32"/>
        <v>0</v>
      </c>
      <c r="Z153" s="307">
        <f t="shared" si="33"/>
        <v>40</v>
      </c>
      <c r="AA153" s="291"/>
      <c r="AB153" s="201">
        <v>17</v>
      </c>
      <c r="AC153" s="63" t="str">
        <f t="shared" si="34"/>
        <v>માથાસુરીયા દિનેશભાઇ અમરાભાઇ</v>
      </c>
      <c r="AD153" s="302" t="s">
        <v>91</v>
      </c>
      <c r="AE153" s="303"/>
      <c r="AF153" s="303"/>
      <c r="AG153" s="303"/>
      <c r="AH153" s="303"/>
      <c r="AI153" s="303"/>
      <c r="AJ153" s="303"/>
      <c r="AK153" s="303"/>
      <c r="AL153" s="303"/>
      <c r="AM153" s="303"/>
      <c r="AN153" s="303"/>
      <c r="AO153" s="303"/>
      <c r="AP153" s="303"/>
      <c r="AQ153" s="303"/>
      <c r="AR153" s="303"/>
      <c r="AS153" s="303"/>
      <c r="AT153" s="303"/>
      <c r="AU153" s="303"/>
      <c r="AV153" s="303"/>
      <c r="AW153" s="304"/>
      <c r="AX153" s="305">
        <f t="shared" si="35"/>
        <v>1</v>
      </c>
      <c r="AY153" s="306">
        <f t="shared" si="36"/>
        <v>0</v>
      </c>
      <c r="AZ153" s="306">
        <f t="shared" si="37"/>
        <v>0</v>
      </c>
      <c r="BA153" s="307">
        <f t="shared" si="38"/>
        <v>40</v>
      </c>
      <c r="BB153" s="291"/>
    </row>
    <row r="154" spans="1:54" ht="20.25" customHeight="1">
      <c r="A154" s="201">
        <v>18</v>
      </c>
      <c r="B154" s="63" t="str">
        <f t="shared" si="29"/>
        <v>વાઘેલા હરેશ જીલુભાઇ</v>
      </c>
      <c r="C154" s="302" t="s">
        <v>91</v>
      </c>
      <c r="D154" s="303"/>
      <c r="E154" s="303"/>
      <c r="F154" s="303"/>
      <c r="G154" s="303"/>
      <c r="H154" s="303"/>
      <c r="I154" s="303"/>
      <c r="J154" s="303"/>
      <c r="K154" s="303"/>
      <c r="L154" s="303"/>
      <c r="M154" s="303"/>
      <c r="N154" s="303"/>
      <c r="O154" s="303"/>
      <c r="P154" s="303"/>
      <c r="Q154" s="303"/>
      <c r="R154" s="303"/>
      <c r="S154" s="303"/>
      <c r="T154" s="303"/>
      <c r="U154" s="303"/>
      <c r="V154" s="304"/>
      <c r="W154" s="305">
        <f t="shared" si="30"/>
        <v>1</v>
      </c>
      <c r="X154" s="306">
        <f t="shared" si="31"/>
        <v>0</v>
      </c>
      <c r="Y154" s="306">
        <f t="shared" si="32"/>
        <v>0</v>
      </c>
      <c r="Z154" s="307">
        <f t="shared" si="33"/>
        <v>40</v>
      </c>
      <c r="AA154" s="291"/>
      <c r="AB154" s="201">
        <v>18</v>
      </c>
      <c r="AC154" s="63" t="str">
        <f t="shared" si="34"/>
        <v>વાઘેલા હરેશ જીલુભાઇ</v>
      </c>
      <c r="AD154" s="302" t="s">
        <v>91</v>
      </c>
      <c r="AE154" s="303"/>
      <c r="AF154" s="303"/>
      <c r="AG154" s="303"/>
      <c r="AH154" s="303"/>
      <c r="AI154" s="303"/>
      <c r="AJ154" s="303"/>
      <c r="AK154" s="303"/>
      <c r="AL154" s="303"/>
      <c r="AM154" s="303"/>
      <c r="AN154" s="303"/>
      <c r="AO154" s="303"/>
      <c r="AP154" s="303"/>
      <c r="AQ154" s="303"/>
      <c r="AR154" s="303"/>
      <c r="AS154" s="303"/>
      <c r="AT154" s="303"/>
      <c r="AU154" s="303"/>
      <c r="AV154" s="303"/>
      <c r="AW154" s="304"/>
      <c r="AX154" s="305">
        <f t="shared" si="35"/>
        <v>1</v>
      </c>
      <c r="AY154" s="306">
        <f t="shared" si="36"/>
        <v>0</v>
      </c>
      <c r="AZ154" s="306">
        <f t="shared" si="37"/>
        <v>0</v>
      </c>
      <c r="BA154" s="307">
        <f t="shared" si="38"/>
        <v>40</v>
      </c>
      <c r="BB154" s="291"/>
    </row>
    <row r="155" spans="1:54" ht="20.25" customHeight="1">
      <c r="A155" s="201">
        <v>19</v>
      </c>
      <c r="B155" s="63" t="str">
        <f t="shared" si="29"/>
        <v>પરમાર દિલીપકુમાર મધુભાઇ</v>
      </c>
      <c r="C155" s="302" t="s">
        <v>91</v>
      </c>
      <c r="D155" s="303"/>
      <c r="E155" s="303"/>
      <c r="F155" s="303"/>
      <c r="G155" s="303"/>
      <c r="H155" s="303"/>
      <c r="I155" s="303"/>
      <c r="J155" s="303"/>
      <c r="K155" s="303"/>
      <c r="L155" s="303"/>
      <c r="M155" s="303"/>
      <c r="N155" s="303"/>
      <c r="O155" s="303"/>
      <c r="P155" s="303"/>
      <c r="Q155" s="303"/>
      <c r="R155" s="303"/>
      <c r="S155" s="303"/>
      <c r="T155" s="303"/>
      <c r="U155" s="303"/>
      <c r="V155" s="304"/>
      <c r="W155" s="305">
        <f t="shared" si="30"/>
        <v>1</v>
      </c>
      <c r="X155" s="306">
        <f t="shared" si="31"/>
        <v>0</v>
      </c>
      <c r="Y155" s="306">
        <f t="shared" si="32"/>
        <v>0</v>
      </c>
      <c r="Z155" s="307">
        <f t="shared" si="33"/>
        <v>40</v>
      </c>
      <c r="AA155" s="291"/>
      <c r="AB155" s="201">
        <v>19</v>
      </c>
      <c r="AC155" s="63" t="str">
        <f t="shared" si="34"/>
        <v>પરમાર દિલીપકુમાર મધુભાઇ</v>
      </c>
      <c r="AD155" s="302" t="s">
        <v>91</v>
      </c>
      <c r="AE155" s="303"/>
      <c r="AF155" s="303"/>
      <c r="AG155" s="303"/>
      <c r="AH155" s="303"/>
      <c r="AI155" s="303"/>
      <c r="AJ155" s="303"/>
      <c r="AK155" s="303"/>
      <c r="AL155" s="303"/>
      <c r="AM155" s="303"/>
      <c r="AN155" s="303"/>
      <c r="AO155" s="303"/>
      <c r="AP155" s="303"/>
      <c r="AQ155" s="303"/>
      <c r="AR155" s="303"/>
      <c r="AS155" s="303"/>
      <c r="AT155" s="303"/>
      <c r="AU155" s="303"/>
      <c r="AV155" s="303"/>
      <c r="AW155" s="304"/>
      <c r="AX155" s="305">
        <f t="shared" si="35"/>
        <v>1</v>
      </c>
      <c r="AY155" s="306">
        <f t="shared" si="36"/>
        <v>0</v>
      </c>
      <c r="AZ155" s="306">
        <f t="shared" si="37"/>
        <v>0</v>
      </c>
      <c r="BA155" s="307">
        <f t="shared" si="38"/>
        <v>40</v>
      </c>
      <c r="BB155" s="291"/>
    </row>
    <row r="156" spans="1:54" ht="20.25" customHeight="1">
      <c r="A156" s="201">
        <v>20</v>
      </c>
      <c r="B156" s="63" t="str">
        <f t="shared" si="29"/>
        <v>વિરપરા કૃણાલ હરેશભાઇ</v>
      </c>
      <c r="C156" s="302" t="s">
        <v>91</v>
      </c>
      <c r="D156" s="303"/>
      <c r="E156" s="303"/>
      <c r="F156" s="303"/>
      <c r="G156" s="303"/>
      <c r="H156" s="303"/>
      <c r="I156" s="303"/>
      <c r="J156" s="303"/>
      <c r="K156" s="303"/>
      <c r="L156" s="303"/>
      <c r="M156" s="303"/>
      <c r="N156" s="303"/>
      <c r="O156" s="303"/>
      <c r="P156" s="303"/>
      <c r="Q156" s="303"/>
      <c r="R156" s="303"/>
      <c r="S156" s="303"/>
      <c r="T156" s="303"/>
      <c r="U156" s="303"/>
      <c r="V156" s="304"/>
      <c r="W156" s="305">
        <f t="shared" si="30"/>
        <v>1</v>
      </c>
      <c r="X156" s="306">
        <f t="shared" si="31"/>
        <v>0</v>
      </c>
      <c r="Y156" s="306">
        <f t="shared" si="32"/>
        <v>0</v>
      </c>
      <c r="Z156" s="307">
        <f t="shared" si="33"/>
        <v>40</v>
      </c>
      <c r="AA156" s="291"/>
      <c r="AB156" s="201">
        <v>20</v>
      </c>
      <c r="AC156" s="63" t="str">
        <f t="shared" si="34"/>
        <v>વિરપરા કૃણાલ હરેશભાઇ</v>
      </c>
      <c r="AD156" s="302" t="s">
        <v>91</v>
      </c>
      <c r="AE156" s="303"/>
      <c r="AF156" s="303"/>
      <c r="AG156" s="303"/>
      <c r="AH156" s="303"/>
      <c r="AI156" s="303"/>
      <c r="AJ156" s="303"/>
      <c r="AK156" s="303"/>
      <c r="AL156" s="303"/>
      <c r="AM156" s="303"/>
      <c r="AN156" s="303"/>
      <c r="AO156" s="303"/>
      <c r="AP156" s="303"/>
      <c r="AQ156" s="303"/>
      <c r="AR156" s="303"/>
      <c r="AS156" s="303"/>
      <c r="AT156" s="303"/>
      <c r="AU156" s="303"/>
      <c r="AV156" s="303"/>
      <c r="AW156" s="304"/>
      <c r="AX156" s="305">
        <f t="shared" si="35"/>
        <v>1</v>
      </c>
      <c r="AY156" s="306">
        <f t="shared" si="36"/>
        <v>0</v>
      </c>
      <c r="AZ156" s="306">
        <f t="shared" si="37"/>
        <v>0</v>
      </c>
      <c r="BA156" s="307">
        <f t="shared" si="38"/>
        <v>40</v>
      </c>
      <c r="BB156" s="291"/>
    </row>
    <row r="157" spans="1:54" ht="20.25" customHeight="1">
      <c r="A157" s="201">
        <v>21</v>
      </c>
      <c r="B157" s="63" t="str">
        <f t="shared" si="29"/>
        <v>મકરૂબિયા જીજ્ઞેશભાઇ અશોકભાઇ</v>
      </c>
      <c r="C157" s="302" t="s">
        <v>91</v>
      </c>
      <c r="D157" s="303"/>
      <c r="E157" s="303"/>
      <c r="F157" s="303"/>
      <c r="G157" s="303"/>
      <c r="H157" s="303"/>
      <c r="I157" s="303"/>
      <c r="J157" s="303"/>
      <c r="K157" s="303"/>
      <c r="L157" s="303"/>
      <c r="M157" s="303"/>
      <c r="N157" s="303"/>
      <c r="O157" s="303"/>
      <c r="P157" s="303"/>
      <c r="Q157" s="303"/>
      <c r="R157" s="303"/>
      <c r="S157" s="303"/>
      <c r="T157" s="303"/>
      <c r="U157" s="303"/>
      <c r="V157" s="304"/>
      <c r="W157" s="305">
        <f t="shared" si="30"/>
        <v>1</v>
      </c>
      <c r="X157" s="306">
        <f t="shared" si="31"/>
        <v>0</v>
      </c>
      <c r="Y157" s="306">
        <f t="shared" si="32"/>
        <v>0</v>
      </c>
      <c r="Z157" s="307">
        <f t="shared" si="33"/>
        <v>40</v>
      </c>
      <c r="AA157" s="291"/>
      <c r="AB157" s="201">
        <v>21</v>
      </c>
      <c r="AC157" s="63" t="str">
        <f t="shared" si="34"/>
        <v>મકરૂબિયા જીજ્ઞેશભાઇ અશોકભાઇ</v>
      </c>
      <c r="AD157" s="302" t="s">
        <v>91</v>
      </c>
      <c r="AE157" s="303"/>
      <c r="AF157" s="303"/>
      <c r="AG157" s="303"/>
      <c r="AH157" s="303"/>
      <c r="AI157" s="303"/>
      <c r="AJ157" s="303"/>
      <c r="AK157" s="303"/>
      <c r="AL157" s="303"/>
      <c r="AM157" s="303"/>
      <c r="AN157" s="303"/>
      <c r="AO157" s="303"/>
      <c r="AP157" s="303"/>
      <c r="AQ157" s="303"/>
      <c r="AR157" s="303"/>
      <c r="AS157" s="303"/>
      <c r="AT157" s="303"/>
      <c r="AU157" s="303"/>
      <c r="AV157" s="303"/>
      <c r="AW157" s="304"/>
      <c r="AX157" s="305">
        <f t="shared" si="35"/>
        <v>1</v>
      </c>
      <c r="AY157" s="306">
        <f t="shared" si="36"/>
        <v>0</v>
      </c>
      <c r="AZ157" s="306">
        <f t="shared" si="37"/>
        <v>0</v>
      </c>
      <c r="BA157" s="307">
        <f t="shared" si="38"/>
        <v>40</v>
      </c>
      <c r="BB157" s="291"/>
    </row>
    <row r="158" spans="1:54" ht="20.25" customHeight="1">
      <c r="A158" s="201">
        <v>22</v>
      </c>
      <c r="B158" s="63" t="str">
        <f t="shared" si="29"/>
        <v>ખિમસુરીયા જ્યોત્સના મુકેશભાઇ</v>
      </c>
      <c r="C158" s="302" t="s">
        <v>91</v>
      </c>
      <c r="D158" s="303"/>
      <c r="E158" s="303"/>
      <c r="F158" s="303"/>
      <c r="G158" s="303"/>
      <c r="H158" s="303"/>
      <c r="I158" s="303"/>
      <c r="J158" s="303"/>
      <c r="K158" s="303"/>
      <c r="L158" s="303"/>
      <c r="M158" s="303"/>
      <c r="N158" s="303"/>
      <c r="O158" s="303"/>
      <c r="P158" s="303"/>
      <c r="Q158" s="303"/>
      <c r="R158" s="303"/>
      <c r="S158" s="303"/>
      <c r="T158" s="303"/>
      <c r="U158" s="303"/>
      <c r="V158" s="304"/>
      <c r="W158" s="305">
        <f t="shared" si="30"/>
        <v>1</v>
      </c>
      <c r="X158" s="306">
        <f t="shared" si="31"/>
        <v>0</v>
      </c>
      <c r="Y158" s="306">
        <f t="shared" si="32"/>
        <v>0</v>
      </c>
      <c r="Z158" s="307">
        <f t="shared" si="33"/>
        <v>40</v>
      </c>
      <c r="AA158" s="291"/>
      <c r="AB158" s="201">
        <v>22</v>
      </c>
      <c r="AC158" s="63" t="str">
        <f t="shared" si="34"/>
        <v>ખિમસુરીયા જ્યોત્સના મુકેશભાઇ</v>
      </c>
      <c r="AD158" s="302" t="s">
        <v>91</v>
      </c>
      <c r="AE158" s="303"/>
      <c r="AF158" s="303"/>
      <c r="AG158" s="303"/>
      <c r="AH158" s="303"/>
      <c r="AI158" s="303"/>
      <c r="AJ158" s="303"/>
      <c r="AK158" s="303"/>
      <c r="AL158" s="303"/>
      <c r="AM158" s="303"/>
      <c r="AN158" s="303"/>
      <c r="AO158" s="303"/>
      <c r="AP158" s="303"/>
      <c r="AQ158" s="303"/>
      <c r="AR158" s="303"/>
      <c r="AS158" s="303"/>
      <c r="AT158" s="303"/>
      <c r="AU158" s="303"/>
      <c r="AV158" s="303"/>
      <c r="AW158" s="304"/>
      <c r="AX158" s="305">
        <f t="shared" si="35"/>
        <v>1</v>
      </c>
      <c r="AY158" s="306">
        <f t="shared" si="36"/>
        <v>0</v>
      </c>
      <c r="AZ158" s="306">
        <f t="shared" si="37"/>
        <v>0</v>
      </c>
      <c r="BA158" s="307">
        <f t="shared" si="38"/>
        <v>40</v>
      </c>
      <c r="BB158" s="291"/>
    </row>
    <row r="159" spans="1:54" ht="20.25" customHeight="1">
      <c r="A159" s="201">
        <v>23</v>
      </c>
      <c r="B159" s="63" t="str">
        <f t="shared" si="29"/>
        <v>ગરણિયા રાજલબેન સામતભાઇ</v>
      </c>
      <c r="C159" s="302" t="s">
        <v>91</v>
      </c>
      <c r="D159" s="303"/>
      <c r="E159" s="303"/>
      <c r="F159" s="303"/>
      <c r="G159" s="303"/>
      <c r="H159" s="303"/>
      <c r="I159" s="303"/>
      <c r="J159" s="303"/>
      <c r="K159" s="303"/>
      <c r="L159" s="303"/>
      <c r="M159" s="303"/>
      <c r="N159" s="303"/>
      <c r="O159" s="303"/>
      <c r="P159" s="303"/>
      <c r="Q159" s="303"/>
      <c r="R159" s="303"/>
      <c r="S159" s="303"/>
      <c r="T159" s="303"/>
      <c r="U159" s="303"/>
      <c r="V159" s="304"/>
      <c r="W159" s="305">
        <f t="shared" si="30"/>
        <v>1</v>
      </c>
      <c r="X159" s="306">
        <f t="shared" si="31"/>
        <v>0</v>
      </c>
      <c r="Y159" s="306">
        <f t="shared" si="32"/>
        <v>0</v>
      </c>
      <c r="Z159" s="307">
        <f t="shared" si="33"/>
        <v>40</v>
      </c>
      <c r="AA159" s="291"/>
      <c r="AB159" s="201">
        <v>23</v>
      </c>
      <c r="AC159" s="63" t="str">
        <f t="shared" si="34"/>
        <v>ગરણિયા રાજલબેન સામતભાઇ</v>
      </c>
      <c r="AD159" s="302" t="s">
        <v>91</v>
      </c>
      <c r="AE159" s="303"/>
      <c r="AF159" s="303"/>
      <c r="AG159" s="303"/>
      <c r="AH159" s="303"/>
      <c r="AI159" s="303"/>
      <c r="AJ159" s="303"/>
      <c r="AK159" s="303"/>
      <c r="AL159" s="303"/>
      <c r="AM159" s="303"/>
      <c r="AN159" s="303"/>
      <c r="AO159" s="303"/>
      <c r="AP159" s="303"/>
      <c r="AQ159" s="303"/>
      <c r="AR159" s="303"/>
      <c r="AS159" s="303"/>
      <c r="AT159" s="303"/>
      <c r="AU159" s="303"/>
      <c r="AV159" s="303"/>
      <c r="AW159" s="304"/>
      <c r="AX159" s="305">
        <f t="shared" si="35"/>
        <v>1</v>
      </c>
      <c r="AY159" s="306">
        <f t="shared" si="36"/>
        <v>0</v>
      </c>
      <c r="AZ159" s="306">
        <f t="shared" si="37"/>
        <v>0</v>
      </c>
      <c r="BA159" s="307">
        <f t="shared" si="38"/>
        <v>40</v>
      </c>
      <c r="BB159" s="291"/>
    </row>
    <row r="160" spans="1:54" ht="20.25" customHeight="1">
      <c r="A160" s="201">
        <v>24</v>
      </c>
      <c r="B160" s="63" t="str">
        <f t="shared" si="29"/>
        <v>ગરણિયા નિરાલીબેન પ્રદીપભાઇ</v>
      </c>
      <c r="C160" s="302" t="s">
        <v>91</v>
      </c>
      <c r="D160" s="303"/>
      <c r="E160" s="303"/>
      <c r="F160" s="303"/>
      <c r="G160" s="303"/>
      <c r="H160" s="303"/>
      <c r="I160" s="303"/>
      <c r="J160" s="303"/>
      <c r="K160" s="303"/>
      <c r="L160" s="303"/>
      <c r="M160" s="303"/>
      <c r="N160" s="303"/>
      <c r="O160" s="303"/>
      <c r="P160" s="303"/>
      <c r="Q160" s="303"/>
      <c r="R160" s="303"/>
      <c r="S160" s="303"/>
      <c r="T160" s="303"/>
      <c r="U160" s="303"/>
      <c r="V160" s="304"/>
      <c r="W160" s="305">
        <f t="shared" si="30"/>
        <v>1</v>
      </c>
      <c r="X160" s="306">
        <f t="shared" si="31"/>
        <v>0</v>
      </c>
      <c r="Y160" s="306">
        <f t="shared" si="32"/>
        <v>0</v>
      </c>
      <c r="Z160" s="307">
        <f t="shared" si="33"/>
        <v>40</v>
      </c>
      <c r="AA160" s="291"/>
      <c r="AB160" s="201">
        <v>24</v>
      </c>
      <c r="AC160" s="63" t="str">
        <f t="shared" si="34"/>
        <v>ગરણિયા નિરાલીબેન પ્રદીપભાઇ</v>
      </c>
      <c r="AD160" s="302" t="s">
        <v>91</v>
      </c>
      <c r="AE160" s="303"/>
      <c r="AF160" s="303"/>
      <c r="AG160" s="303"/>
      <c r="AH160" s="303"/>
      <c r="AI160" s="303"/>
      <c r="AJ160" s="303"/>
      <c r="AK160" s="303"/>
      <c r="AL160" s="303"/>
      <c r="AM160" s="303"/>
      <c r="AN160" s="303"/>
      <c r="AO160" s="303"/>
      <c r="AP160" s="303"/>
      <c r="AQ160" s="303"/>
      <c r="AR160" s="303"/>
      <c r="AS160" s="303"/>
      <c r="AT160" s="303"/>
      <c r="AU160" s="303"/>
      <c r="AV160" s="303"/>
      <c r="AW160" s="304"/>
      <c r="AX160" s="305">
        <f t="shared" si="35"/>
        <v>1</v>
      </c>
      <c r="AY160" s="306">
        <f t="shared" si="36"/>
        <v>0</v>
      </c>
      <c r="AZ160" s="306">
        <f t="shared" si="37"/>
        <v>0</v>
      </c>
      <c r="BA160" s="307">
        <f t="shared" si="38"/>
        <v>40</v>
      </c>
      <c r="BB160" s="291"/>
    </row>
    <row r="161" spans="1:54" ht="20.25" customHeight="1">
      <c r="A161" s="201">
        <v>25</v>
      </c>
      <c r="B161" s="63" t="str">
        <f t="shared" si="29"/>
        <v>ગરણિયા રાધાબેન લક્ષ્મણભાઇ</v>
      </c>
      <c r="C161" s="302" t="s">
        <v>91</v>
      </c>
      <c r="D161" s="303"/>
      <c r="E161" s="303"/>
      <c r="F161" s="303"/>
      <c r="G161" s="303"/>
      <c r="H161" s="303"/>
      <c r="I161" s="303"/>
      <c r="J161" s="303"/>
      <c r="K161" s="303"/>
      <c r="L161" s="303"/>
      <c r="M161" s="303"/>
      <c r="N161" s="303"/>
      <c r="O161" s="303"/>
      <c r="P161" s="303"/>
      <c r="Q161" s="303"/>
      <c r="R161" s="303"/>
      <c r="S161" s="303"/>
      <c r="T161" s="303"/>
      <c r="U161" s="303"/>
      <c r="V161" s="304"/>
      <c r="W161" s="305">
        <f t="shared" si="30"/>
        <v>1</v>
      </c>
      <c r="X161" s="306">
        <f t="shared" si="31"/>
        <v>0</v>
      </c>
      <c r="Y161" s="306">
        <f t="shared" si="32"/>
        <v>0</v>
      </c>
      <c r="Z161" s="307">
        <f t="shared" si="33"/>
        <v>40</v>
      </c>
      <c r="AA161" s="291"/>
      <c r="AB161" s="201">
        <v>25</v>
      </c>
      <c r="AC161" s="63" t="str">
        <f t="shared" si="34"/>
        <v>ગરણિયા રાધાબેન લક્ષ્મણભાઇ</v>
      </c>
      <c r="AD161" s="302" t="s">
        <v>91</v>
      </c>
      <c r="AE161" s="303"/>
      <c r="AF161" s="303"/>
      <c r="AG161" s="303"/>
      <c r="AH161" s="303"/>
      <c r="AI161" s="303"/>
      <c r="AJ161" s="303"/>
      <c r="AK161" s="303"/>
      <c r="AL161" s="303"/>
      <c r="AM161" s="303"/>
      <c r="AN161" s="303"/>
      <c r="AO161" s="303"/>
      <c r="AP161" s="303"/>
      <c r="AQ161" s="303"/>
      <c r="AR161" s="303"/>
      <c r="AS161" s="303"/>
      <c r="AT161" s="303"/>
      <c r="AU161" s="303"/>
      <c r="AV161" s="303"/>
      <c r="AW161" s="304"/>
      <c r="AX161" s="305">
        <f t="shared" si="35"/>
        <v>1</v>
      </c>
      <c r="AY161" s="306">
        <f t="shared" si="36"/>
        <v>0</v>
      </c>
      <c r="AZ161" s="306">
        <f t="shared" si="37"/>
        <v>0</v>
      </c>
      <c r="BA161" s="307">
        <f t="shared" si="38"/>
        <v>40</v>
      </c>
      <c r="BB161" s="291"/>
    </row>
    <row r="162" spans="1:54" ht="20.25" customHeight="1">
      <c r="A162" s="201">
        <v>26</v>
      </c>
      <c r="B162" s="63" t="str">
        <f t="shared" si="29"/>
        <v>ગૌસ્વામિ મયુરીબેન રમેશગીરી</v>
      </c>
      <c r="C162" s="302" t="s">
        <v>91</v>
      </c>
      <c r="D162" s="303"/>
      <c r="E162" s="303"/>
      <c r="F162" s="303"/>
      <c r="G162" s="303"/>
      <c r="H162" s="303"/>
      <c r="I162" s="303"/>
      <c r="J162" s="303"/>
      <c r="K162" s="303"/>
      <c r="L162" s="303"/>
      <c r="M162" s="303"/>
      <c r="N162" s="303"/>
      <c r="O162" s="303"/>
      <c r="P162" s="303"/>
      <c r="Q162" s="303"/>
      <c r="R162" s="303"/>
      <c r="S162" s="303"/>
      <c r="T162" s="303"/>
      <c r="U162" s="303"/>
      <c r="V162" s="304"/>
      <c r="W162" s="305">
        <f t="shared" si="30"/>
        <v>1</v>
      </c>
      <c r="X162" s="306">
        <f t="shared" si="31"/>
        <v>0</v>
      </c>
      <c r="Y162" s="306">
        <f t="shared" si="32"/>
        <v>0</v>
      </c>
      <c r="Z162" s="307">
        <f t="shared" si="33"/>
        <v>40</v>
      </c>
      <c r="AA162" s="291"/>
      <c r="AB162" s="201">
        <v>26</v>
      </c>
      <c r="AC162" s="63" t="str">
        <f t="shared" si="34"/>
        <v>ગૌસ્વામિ મયુરીબેન રમેશગીરી</v>
      </c>
      <c r="AD162" s="302" t="s">
        <v>91</v>
      </c>
      <c r="AE162" s="303"/>
      <c r="AF162" s="303"/>
      <c r="AG162" s="303"/>
      <c r="AH162" s="303"/>
      <c r="AI162" s="303"/>
      <c r="AJ162" s="303"/>
      <c r="AK162" s="303"/>
      <c r="AL162" s="303"/>
      <c r="AM162" s="303"/>
      <c r="AN162" s="303"/>
      <c r="AO162" s="303"/>
      <c r="AP162" s="303"/>
      <c r="AQ162" s="303"/>
      <c r="AR162" s="303"/>
      <c r="AS162" s="303"/>
      <c r="AT162" s="303"/>
      <c r="AU162" s="303"/>
      <c r="AV162" s="303"/>
      <c r="AW162" s="304"/>
      <c r="AX162" s="305">
        <f t="shared" si="35"/>
        <v>1</v>
      </c>
      <c r="AY162" s="306">
        <f t="shared" si="36"/>
        <v>0</v>
      </c>
      <c r="AZ162" s="306">
        <f t="shared" si="37"/>
        <v>0</v>
      </c>
      <c r="BA162" s="307">
        <f t="shared" si="38"/>
        <v>40</v>
      </c>
      <c r="BB162" s="291"/>
    </row>
    <row r="163" spans="1:54" ht="20.25" customHeight="1">
      <c r="A163" s="201">
        <v>27</v>
      </c>
      <c r="B163" s="63" t="str">
        <f t="shared" si="29"/>
        <v>બતાડા જાનકી વાલાભાઇ</v>
      </c>
      <c r="C163" s="302" t="s">
        <v>91</v>
      </c>
      <c r="D163" s="303"/>
      <c r="E163" s="303"/>
      <c r="F163" s="303"/>
      <c r="G163" s="303"/>
      <c r="H163" s="303"/>
      <c r="I163" s="303"/>
      <c r="J163" s="303"/>
      <c r="K163" s="303"/>
      <c r="L163" s="303"/>
      <c r="M163" s="303"/>
      <c r="N163" s="303"/>
      <c r="O163" s="303"/>
      <c r="P163" s="303"/>
      <c r="Q163" s="303"/>
      <c r="R163" s="303"/>
      <c r="S163" s="303"/>
      <c r="T163" s="303"/>
      <c r="U163" s="303"/>
      <c r="V163" s="304"/>
      <c r="W163" s="305">
        <f t="shared" si="30"/>
        <v>1</v>
      </c>
      <c r="X163" s="306">
        <f t="shared" si="31"/>
        <v>0</v>
      </c>
      <c r="Y163" s="306">
        <f t="shared" si="32"/>
        <v>0</v>
      </c>
      <c r="Z163" s="307">
        <f t="shared" si="33"/>
        <v>40</v>
      </c>
      <c r="AA163" s="291"/>
      <c r="AB163" s="201">
        <v>27</v>
      </c>
      <c r="AC163" s="63" t="str">
        <f t="shared" si="34"/>
        <v>બતાડા જાનકી વાલાભાઇ</v>
      </c>
      <c r="AD163" s="302" t="s">
        <v>91</v>
      </c>
      <c r="AE163" s="303"/>
      <c r="AF163" s="303"/>
      <c r="AG163" s="303"/>
      <c r="AH163" s="303"/>
      <c r="AI163" s="303"/>
      <c r="AJ163" s="303"/>
      <c r="AK163" s="303"/>
      <c r="AL163" s="303"/>
      <c r="AM163" s="303"/>
      <c r="AN163" s="303"/>
      <c r="AO163" s="303"/>
      <c r="AP163" s="303"/>
      <c r="AQ163" s="303"/>
      <c r="AR163" s="303"/>
      <c r="AS163" s="303"/>
      <c r="AT163" s="303"/>
      <c r="AU163" s="303"/>
      <c r="AV163" s="303"/>
      <c r="AW163" s="304"/>
      <c r="AX163" s="305">
        <f t="shared" si="35"/>
        <v>1</v>
      </c>
      <c r="AY163" s="306">
        <f t="shared" si="36"/>
        <v>0</v>
      </c>
      <c r="AZ163" s="306">
        <f t="shared" si="37"/>
        <v>0</v>
      </c>
      <c r="BA163" s="307">
        <f t="shared" si="38"/>
        <v>40</v>
      </c>
      <c r="BB163" s="291"/>
    </row>
    <row r="164" spans="1:54" ht="20.25" customHeight="1">
      <c r="A164" s="201">
        <v>28</v>
      </c>
      <c r="B164" s="63" t="str">
        <f t="shared" si="29"/>
        <v>બતાડા ક્રિષ્નાબેન દેવશીભાઇ</v>
      </c>
      <c r="C164" s="302" t="s">
        <v>91</v>
      </c>
      <c r="D164" s="303"/>
      <c r="E164" s="303"/>
      <c r="F164" s="303"/>
      <c r="G164" s="303"/>
      <c r="H164" s="303"/>
      <c r="I164" s="303"/>
      <c r="J164" s="303"/>
      <c r="K164" s="303"/>
      <c r="L164" s="303"/>
      <c r="M164" s="303"/>
      <c r="N164" s="303"/>
      <c r="O164" s="303"/>
      <c r="P164" s="303"/>
      <c r="Q164" s="303"/>
      <c r="R164" s="303"/>
      <c r="S164" s="303"/>
      <c r="T164" s="303"/>
      <c r="U164" s="303"/>
      <c r="V164" s="304"/>
      <c r="W164" s="305">
        <f t="shared" si="30"/>
        <v>1</v>
      </c>
      <c r="X164" s="306">
        <f t="shared" si="31"/>
        <v>0</v>
      </c>
      <c r="Y164" s="306">
        <f t="shared" si="32"/>
        <v>0</v>
      </c>
      <c r="Z164" s="307">
        <f t="shared" si="33"/>
        <v>40</v>
      </c>
      <c r="AA164" s="291"/>
      <c r="AB164" s="201">
        <v>28</v>
      </c>
      <c r="AC164" s="63" t="str">
        <f t="shared" si="34"/>
        <v>બતાડા ક્રિષ્નાબેન દેવશીભાઇ</v>
      </c>
      <c r="AD164" s="302" t="s">
        <v>91</v>
      </c>
      <c r="AE164" s="303"/>
      <c r="AF164" s="303"/>
      <c r="AG164" s="303"/>
      <c r="AH164" s="303"/>
      <c r="AI164" s="303"/>
      <c r="AJ164" s="303"/>
      <c r="AK164" s="303"/>
      <c r="AL164" s="303"/>
      <c r="AM164" s="303"/>
      <c r="AN164" s="303"/>
      <c r="AO164" s="303"/>
      <c r="AP164" s="303"/>
      <c r="AQ164" s="303"/>
      <c r="AR164" s="303"/>
      <c r="AS164" s="303"/>
      <c r="AT164" s="303"/>
      <c r="AU164" s="303"/>
      <c r="AV164" s="303"/>
      <c r="AW164" s="304"/>
      <c r="AX164" s="305">
        <f t="shared" si="35"/>
        <v>1</v>
      </c>
      <c r="AY164" s="306">
        <f t="shared" si="36"/>
        <v>0</v>
      </c>
      <c r="AZ164" s="306">
        <f t="shared" si="37"/>
        <v>0</v>
      </c>
      <c r="BA164" s="307">
        <f t="shared" si="38"/>
        <v>40</v>
      </c>
      <c r="BB164" s="291"/>
    </row>
    <row r="165" spans="1:54" ht="20.25" customHeight="1">
      <c r="A165" s="201">
        <v>29</v>
      </c>
      <c r="B165" s="63" t="str">
        <f t="shared" si="29"/>
        <v>પરમાર અનિષા રમેશભાઇ</v>
      </c>
      <c r="C165" s="302" t="s">
        <v>91</v>
      </c>
      <c r="D165" s="303"/>
      <c r="E165" s="303"/>
      <c r="F165" s="303"/>
      <c r="G165" s="303"/>
      <c r="H165" s="303"/>
      <c r="I165" s="303"/>
      <c r="J165" s="303"/>
      <c r="K165" s="303"/>
      <c r="L165" s="303"/>
      <c r="M165" s="303"/>
      <c r="N165" s="303"/>
      <c r="O165" s="303"/>
      <c r="P165" s="303"/>
      <c r="Q165" s="303"/>
      <c r="R165" s="303"/>
      <c r="S165" s="303"/>
      <c r="T165" s="303"/>
      <c r="U165" s="303"/>
      <c r="V165" s="304"/>
      <c r="W165" s="305">
        <f t="shared" si="30"/>
        <v>1</v>
      </c>
      <c r="X165" s="306">
        <f t="shared" si="31"/>
        <v>0</v>
      </c>
      <c r="Y165" s="306">
        <f t="shared" si="32"/>
        <v>0</v>
      </c>
      <c r="Z165" s="307">
        <f t="shared" si="33"/>
        <v>40</v>
      </c>
      <c r="AA165" s="291"/>
      <c r="AB165" s="201">
        <v>29</v>
      </c>
      <c r="AC165" s="63" t="str">
        <f t="shared" si="34"/>
        <v>પરમાર અનિષા રમેશભાઇ</v>
      </c>
      <c r="AD165" s="302" t="s">
        <v>91</v>
      </c>
      <c r="AE165" s="303"/>
      <c r="AF165" s="303"/>
      <c r="AG165" s="303"/>
      <c r="AH165" s="303"/>
      <c r="AI165" s="303"/>
      <c r="AJ165" s="303"/>
      <c r="AK165" s="303"/>
      <c r="AL165" s="303"/>
      <c r="AM165" s="303"/>
      <c r="AN165" s="303"/>
      <c r="AO165" s="303"/>
      <c r="AP165" s="303"/>
      <c r="AQ165" s="303"/>
      <c r="AR165" s="303"/>
      <c r="AS165" s="303"/>
      <c r="AT165" s="303"/>
      <c r="AU165" s="303"/>
      <c r="AV165" s="303"/>
      <c r="AW165" s="304"/>
      <c r="AX165" s="305">
        <f t="shared" si="35"/>
        <v>1</v>
      </c>
      <c r="AY165" s="306">
        <f t="shared" si="36"/>
        <v>0</v>
      </c>
      <c r="AZ165" s="306">
        <f t="shared" si="37"/>
        <v>0</v>
      </c>
      <c r="BA165" s="307">
        <f t="shared" si="38"/>
        <v>40</v>
      </c>
      <c r="BB165" s="291"/>
    </row>
    <row r="166" spans="1:54" ht="20.25" customHeight="1">
      <c r="A166" s="201">
        <v>30</v>
      </c>
      <c r="B166" s="63" t="str">
        <f t="shared" si="29"/>
        <v>મકરૂબિયા નમ્રતા વશરામભાઇ</v>
      </c>
      <c r="C166" s="302" t="s">
        <v>91</v>
      </c>
      <c r="D166" s="303"/>
      <c r="E166" s="303"/>
      <c r="F166" s="303"/>
      <c r="G166" s="303"/>
      <c r="H166" s="303"/>
      <c r="I166" s="303"/>
      <c r="J166" s="303"/>
      <c r="K166" s="303"/>
      <c r="L166" s="303"/>
      <c r="M166" s="303"/>
      <c r="N166" s="303"/>
      <c r="O166" s="303"/>
      <c r="P166" s="303"/>
      <c r="Q166" s="303"/>
      <c r="R166" s="303"/>
      <c r="S166" s="303"/>
      <c r="T166" s="303"/>
      <c r="U166" s="303"/>
      <c r="V166" s="304"/>
      <c r="W166" s="305">
        <f t="shared" si="30"/>
        <v>1</v>
      </c>
      <c r="X166" s="306">
        <f t="shared" si="31"/>
        <v>0</v>
      </c>
      <c r="Y166" s="306">
        <f t="shared" si="32"/>
        <v>0</v>
      </c>
      <c r="Z166" s="307">
        <f t="shared" si="33"/>
        <v>40</v>
      </c>
      <c r="AA166" s="291"/>
      <c r="AB166" s="201">
        <v>30</v>
      </c>
      <c r="AC166" s="63" t="str">
        <f t="shared" si="34"/>
        <v>મકરૂબિયા નમ્રતા વશરામભાઇ</v>
      </c>
      <c r="AD166" s="302" t="s">
        <v>91</v>
      </c>
      <c r="AE166" s="303"/>
      <c r="AF166" s="303"/>
      <c r="AG166" s="303"/>
      <c r="AH166" s="303"/>
      <c r="AI166" s="303"/>
      <c r="AJ166" s="303"/>
      <c r="AK166" s="303"/>
      <c r="AL166" s="303"/>
      <c r="AM166" s="303"/>
      <c r="AN166" s="303"/>
      <c r="AO166" s="303"/>
      <c r="AP166" s="303"/>
      <c r="AQ166" s="303"/>
      <c r="AR166" s="303"/>
      <c r="AS166" s="303"/>
      <c r="AT166" s="303"/>
      <c r="AU166" s="303"/>
      <c r="AV166" s="303"/>
      <c r="AW166" s="304"/>
      <c r="AX166" s="305">
        <f t="shared" si="35"/>
        <v>1</v>
      </c>
      <c r="AY166" s="306">
        <f t="shared" si="36"/>
        <v>0</v>
      </c>
      <c r="AZ166" s="306">
        <f t="shared" si="37"/>
        <v>0</v>
      </c>
      <c r="BA166" s="307">
        <f t="shared" si="38"/>
        <v>40</v>
      </c>
      <c r="BB166" s="291"/>
    </row>
    <row r="167" spans="1:54" ht="20.25" customHeight="1">
      <c r="A167" s="201">
        <v>31</v>
      </c>
      <c r="B167" s="63">
        <f t="shared" si="29"/>
        <v>0</v>
      </c>
      <c r="C167" s="302"/>
      <c r="D167" s="303"/>
      <c r="E167" s="303"/>
      <c r="F167" s="303"/>
      <c r="G167" s="303"/>
      <c r="H167" s="303"/>
      <c r="I167" s="303"/>
      <c r="J167" s="303"/>
      <c r="K167" s="303"/>
      <c r="L167" s="303"/>
      <c r="M167" s="303"/>
      <c r="N167" s="303"/>
      <c r="O167" s="303"/>
      <c r="P167" s="303"/>
      <c r="Q167" s="303"/>
      <c r="R167" s="303"/>
      <c r="S167" s="303"/>
      <c r="T167" s="303"/>
      <c r="U167" s="303"/>
      <c r="V167" s="304"/>
      <c r="W167" s="305">
        <f t="shared" si="30"/>
        <v>0</v>
      </c>
      <c r="X167" s="306">
        <f t="shared" si="31"/>
        <v>0</v>
      </c>
      <c r="Y167" s="306">
        <f t="shared" si="32"/>
        <v>0</v>
      </c>
      <c r="Z167" s="307">
        <f t="shared" si="33"/>
        <v>0</v>
      </c>
      <c r="AA167" s="291"/>
      <c r="AB167" s="201">
        <v>31</v>
      </c>
      <c r="AC167" s="63">
        <f t="shared" si="34"/>
        <v>0</v>
      </c>
      <c r="AD167" s="302"/>
      <c r="AE167" s="303"/>
      <c r="AF167" s="303"/>
      <c r="AG167" s="303"/>
      <c r="AH167" s="303"/>
      <c r="AI167" s="303"/>
      <c r="AJ167" s="303"/>
      <c r="AK167" s="303"/>
      <c r="AL167" s="303"/>
      <c r="AM167" s="303"/>
      <c r="AN167" s="303"/>
      <c r="AO167" s="303"/>
      <c r="AP167" s="303"/>
      <c r="AQ167" s="303"/>
      <c r="AR167" s="303"/>
      <c r="AS167" s="303"/>
      <c r="AT167" s="303"/>
      <c r="AU167" s="303"/>
      <c r="AV167" s="303"/>
      <c r="AW167" s="304"/>
      <c r="AX167" s="305">
        <f t="shared" si="35"/>
        <v>0</v>
      </c>
      <c r="AY167" s="306">
        <f t="shared" si="36"/>
        <v>0</v>
      </c>
      <c r="AZ167" s="306">
        <f t="shared" si="37"/>
        <v>0</v>
      </c>
      <c r="BA167" s="307">
        <f t="shared" si="38"/>
        <v>0</v>
      </c>
      <c r="BB167" s="291"/>
    </row>
    <row r="168" spans="1:54" ht="20.25" customHeight="1">
      <c r="A168" s="201">
        <v>32</v>
      </c>
      <c r="B168" s="63">
        <f t="shared" si="29"/>
        <v>0</v>
      </c>
      <c r="C168" s="302"/>
      <c r="D168" s="303"/>
      <c r="E168" s="303"/>
      <c r="F168" s="303"/>
      <c r="G168" s="303"/>
      <c r="H168" s="303"/>
      <c r="I168" s="303"/>
      <c r="J168" s="303"/>
      <c r="K168" s="303"/>
      <c r="L168" s="303"/>
      <c r="M168" s="303"/>
      <c r="N168" s="303"/>
      <c r="O168" s="303"/>
      <c r="P168" s="303"/>
      <c r="Q168" s="303"/>
      <c r="R168" s="303"/>
      <c r="S168" s="303"/>
      <c r="T168" s="303"/>
      <c r="U168" s="303"/>
      <c r="V168" s="304"/>
      <c r="W168" s="305">
        <f t="shared" si="30"/>
        <v>0</v>
      </c>
      <c r="X168" s="306">
        <f t="shared" si="31"/>
        <v>0</v>
      </c>
      <c r="Y168" s="306">
        <f t="shared" si="32"/>
        <v>0</v>
      </c>
      <c r="Z168" s="307">
        <f t="shared" si="33"/>
        <v>0</v>
      </c>
      <c r="AA168" s="291"/>
      <c r="AB168" s="201">
        <v>32</v>
      </c>
      <c r="AC168" s="63">
        <f t="shared" si="34"/>
        <v>0</v>
      </c>
      <c r="AD168" s="302"/>
      <c r="AE168" s="303"/>
      <c r="AF168" s="303"/>
      <c r="AG168" s="303"/>
      <c r="AH168" s="303"/>
      <c r="AI168" s="303"/>
      <c r="AJ168" s="303"/>
      <c r="AK168" s="303"/>
      <c r="AL168" s="303"/>
      <c r="AM168" s="303"/>
      <c r="AN168" s="303"/>
      <c r="AO168" s="303"/>
      <c r="AP168" s="303"/>
      <c r="AQ168" s="303"/>
      <c r="AR168" s="303"/>
      <c r="AS168" s="303"/>
      <c r="AT168" s="303"/>
      <c r="AU168" s="303"/>
      <c r="AV168" s="303"/>
      <c r="AW168" s="304"/>
      <c r="AX168" s="305">
        <f t="shared" si="35"/>
        <v>0</v>
      </c>
      <c r="AY168" s="306">
        <f t="shared" si="36"/>
        <v>0</v>
      </c>
      <c r="AZ168" s="306">
        <f t="shared" si="37"/>
        <v>0</v>
      </c>
      <c r="BA168" s="307">
        <f t="shared" si="38"/>
        <v>0</v>
      </c>
      <c r="BB168" s="291"/>
    </row>
    <row r="169" spans="1:54" ht="20.25" customHeight="1">
      <c r="A169" s="201">
        <v>33</v>
      </c>
      <c r="B169" s="63">
        <f t="shared" si="29"/>
        <v>0</v>
      </c>
      <c r="C169" s="302"/>
      <c r="D169" s="303"/>
      <c r="E169" s="303"/>
      <c r="F169" s="303"/>
      <c r="G169" s="303"/>
      <c r="H169" s="303"/>
      <c r="I169" s="303"/>
      <c r="J169" s="303"/>
      <c r="K169" s="303"/>
      <c r="L169" s="303"/>
      <c r="M169" s="303"/>
      <c r="N169" s="303"/>
      <c r="O169" s="303"/>
      <c r="P169" s="303"/>
      <c r="Q169" s="303"/>
      <c r="R169" s="303"/>
      <c r="S169" s="303"/>
      <c r="T169" s="303"/>
      <c r="U169" s="303"/>
      <c r="V169" s="304"/>
      <c r="W169" s="305">
        <f t="shared" si="30"/>
        <v>0</v>
      </c>
      <c r="X169" s="306">
        <f t="shared" si="31"/>
        <v>0</v>
      </c>
      <c r="Y169" s="306">
        <f t="shared" si="32"/>
        <v>0</v>
      </c>
      <c r="Z169" s="307">
        <f t="shared" si="33"/>
        <v>0</v>
      </c>
      <c r="AA169" s="291"/>
      <c r="AB169" s="201">
        <v>33</v>
      </c>
      <c r="AC169" s="63">
        <f t="shared" si="34"/>
        <v>0</v>
      </c>
      <c r="AD169" s="302"/>
      <c r="AE169" s="303"/>
      <c r="AF169" s="303"/>
      <c r="AG169" s="303"/>
      <c r="AH169" s="303"/>
      <c r="AI169" s="303"/>
      <c r="AJ169" s="303"/>
      <c r="AK169" s="303"/>
      <c r="AL169" s="303"/>
      <c r="AM169" s="303"/>
      <c r="AN169" s="303"/>
      <c r="AO169" s="303"/>
      <c r="AP169" s="303"/>
      <c r="AQ169" s="303"/>
      <c r="AR169" s="303"/>
      <c r="AS169" s="303"/>
      <c r="AT169" s="303"/>
      <c r="AU169" s="303"/>
      <c r="AV169" s="303"/>
      <c r="AW169" s="304"/>
      <c r="AX169" s="305">
        <f t="shared" si="35"/>
        <v>0</v>
      </c>
      <c r="AY169" s="306">
        <f t="shared" si="36"/>
        <v>0</v>
      </c>
      <c r="AZ169" s="306">
        <f t="shared" si="37"/>
        <v>0</v>
      </c>
      <c r="BA169" s="307">
        <f t="shared" si="38"/>
        <v>0</v>
      </c>
      <c r="BB169" s="291"/>
    </row>
    <row r="170" spans="1:54" ht="20.25" customHeight="1">
      <c r="A170" s="201">
        <v>34</v>
      </c>
      <c r="B170" s="63">
        <f t="shared" si="29"/>
        <v>0</v>
      </c>
      <c r="C170" s="302"/>
      <c r="D170" s="303"/>
      <c r="E170" s="303"/>
      <c r="F170" s="303"/>
      <c r="G170" s="303"/>
      <c r="H170" s="303"/>
      <c r="I170" s="303"/>
      <c r="J170" s="303"/>
      <c r="K170" s="303"/>
      <c r="L170" s="303"/>
      <c r="M170" s="303"/>
      <c r="N170" s="303"/>
      <c r="O170" s="303"/>
      <c r="P170" s="303"/>
      <c r="Q170" s="303"/>
      <c r="R170" s="303"/>
      <c r="S170" s="303"/>
      <c r="T170" s="303"/>
      <c r="U170" s="303"/>
      <c r="V170" s="304"/>
      <c r="W170" s="305">
        <f t="shared" si="30"/>
        <v>0</v>
      </c>
      <c r="X170" s="306">
        <f t="shared" si="31"/>
        <v>0</v>
      </c>
      <c r="Y170" s="306">
        <f t="shared" si="32"/>
        <v>0</v>
      </c>
      <c r="Z170" s="307">
        <f t="shared" si="33"/>
        <v>0</v>
      </c>
      <c r="AA170" s="291"/>
      <c r="AB170" s="201">
        <v>34</v>
      </c>
      <c r="AC170" s="63">
        <f t="shared" si="34"/>
        <v>0</v>
      </c>
      <c r="AD170" s="302"/>
      <c r="AE170" s="303"/>
      <c r="AF170" s="303"/>
      <c r="AG170" s="303"/>
      <c r="AH170" s="303"/>
      <c r="AI170" s="303"/>
      <c r="AJ170" s="303"/>
      <c r="AK170" s="303"/>
      <c r="AL170" s="303"/>
      <c r="AM170" s="303"/>
      <c r="AN170" s="303"/>
      <c r="AO170" s="303"/>
      <c r="AP170" s="303"/>
      <c r="AQ170" s="303"/>
      <c r="AR170" s="303"/>
      <c r="AS170" s="303"/>
      <c r="AT170" s="303"/>
      <c r="AU170" s="303"/>
      <c r="AV170" s="303"/>
      <c r="AW170" s="304"/>
      <c r="AX170" s="305">
        <f t="shared" si="35"/>
        <v>0</v>
      </c>
      <c r="AY170" s="306">
        <f t="shared" si="36"/>
        <v>0</v>
      </c>
      <c r="AZ170" s="306">
        <f t="shared" si="37"/>
        <v>0</v>
      </c>
      <c r="BA170" s="307">
        <f t="shared" si="38"/>
        <v>0</v>
      </c>
      <c r="BB170" s="291"/>
    </row>
    <row r="171" spans="1:54" ht="20.25" customHeight="1">
      <c r="A171" s="201">
        <v>35</v>
      </c>
      <c r="B171" s="64">
        <f t="shared" si="29"/>
        <v>0</v>
      </c>
      <c r="C171" s="308"/>
      <c r="D171" s="309"/>
      <c r="E171" s="309"/>
      <c r="F171" s="309"/>
      <c r="G171" s="309"/>
      <c r="H171" s="309"/>
      <c r="I171" s="309"/>
      <c r="J171" s="309"/>
      <c r="K171" s="309"/>
      <c r="L171" s="309"/>
      <c r="M171" s="309"/>
      <c r="N171" s="309"/>
      <c r="O171" s="309"/>
      <c r="P171" s="309"/>
      <c r="Q171" s="309"/>
      <c r="R171" s="309"/>
      <c r="S171" s="309"/>
      <c r="T171" s="309"/>
      <c r="U171" s="309"/>
      <c r="V171" s="310"/>
      <c r="W171" s="311">
        <f t="shared" si="30"/>
        <v>0</v>
      </c>
      <c r="X171" s="312">
        <f t="shared" si="31"/>
        <v>0</v>
      </c>
      <c r="Y171" s="312">
        <f t="shared" si="32"/>
        <v>0</v>
      </c>
      <c r="Z171" s="313">
        <f t="shared" si="33"/>
        <v>0</v>
      </c>
      <c r="AA171" s="291"/>
      <c r="AB171" s="201">
        <v>35</v>
      </c>
      <c r="AC171" s="64">
        <f t="shared" si="34"/>
        <v>0</v>
      </c>
      <c r="AD171" s="308"/>
      <c r="AE171" s="309"/>
      <c r="AF171" s="309"/>
      <c r="AG171" s="309"/>
      <c r="AH171" s="309"/>
      <c r="AI171" s="309"/>
      <c r="AJ171" s="309"/>
      <c r="AK171" s="309"/>
      <c r="AL171" s="309"/>
      <c r="AM171" s="309"/>
      <c r="AN171" s="309"/>
      <c r="AO171" s="309"/>
      <c r="AP171" s="309"/>
      <c r="AQ171" s="309"/>
      <c r="AR171" s="309"/>
      <c r="AS171" s="309"/>
      <c r="AT171" s="309"/>
      <c r="AU171" s="309"/>
      <c r="AV171" s="309"/>
      <c r="AW171" s="310"/>
      <c r="AX171" s="311">
        <f t="shared" si="35"/>
        <v>0</v>
      </c>
      <c r="AY171" s="312">
        <f t="shared" si="36"/>
        <v>0</v>
      </c>
      <c r="AZ171" s="312">
        <f t="shared" si="37"/>
        <v>0</v>
      </c>
      <c r="BA171" s="313">
        <f t="shared" si="38"/>
        <v>0</v>
      </c>
      <c r="BB171" s="291"/>
    </row>
    <row r="172" spans="1:54">
      <c r="A172" s="314"/>
      <c r="B172" s="292"/>
      <c r="C172" s="291"/>
      <c r="D172" s="291"/>
      <c r="E172" s="291"/>
      <c r="F172" s="291"/>
      <c r="G172" s="291"/>
      <c r="H172" s="291"/>
      <c r="I172" s="291"/>
      <c r="J172" s="291"/>
      <c r="K172" s="291"/>
      <c r="L172" s="291"/>
      <c r="M172" s="291"/>
      <c r="N172" s="291"/>
      <c r="O172" s="291"/>
      <c r="P172" s="291"/>
      <c r="Q172" s="291"/>
      <c r="R172" s="291"/>
      <c r="S172" s="291"/>
      <c r="T172" s="291"/>
      <c r="U172" s="291"/>
      <c r="V172" s="291"/>
      <c r="W172" s="291"/>
      <c r="X172" s="291"/>
      <c r="Y172" s="291"/>
      <c r="Z172" s="291"/>
      <c r="AA172" s="291"/>
      <c r="AB172" s="314"/>
      <c r="AC172" s="292"/>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row>
    <row r="173" spans="1:54" ht="18">
      <c r="A173" s="67" t="s">
        <v>178</v>
      </c>
      <c r="B173" s="375" t="s">
        <v>81</v>
      </c>
      <c r="C173" s="375"/>
      <c r="D173" s="375"/>
      <c r="E173" s="375"/>
      <c r="F173" s="375"/>
      <c r="G173" s="375"/>
      <c r="H173" s="375"/>
      <c r="I173" s="375"/>
      <c r="J173" s="375"/>
      <c r="K173" s="375"/>
      <c r="L173" s="375"/>
      <c r="M173" s="375"/>
      <c r="N173" s="375"/>
      <c r="O173" s="375"/>
      <c r="P173" s="375"/>
      <c r="Q173" s="375"/>
      <c r="R173" s="375"/>
      <c r="S173" s="375"/>
      <c r="T173" s="375"/>
      <c r="U173" s="375"/>
      <c r="V173" s="375"/>
      <c r="W173" s="375"/>
      <c r="X173" s="375"/>
      <c r="Y173" s="375"/>
      <c r="Z173" s="375"/>
      <c r="AA173" s="43"/>
      <c r="AB173" s="67" t="s">
        <v>178</v>
      </c>
      <c r="AC173" s="375" t="s">
        <v>81</v>
      </c>
      <c r="AD173" s="375"/>
      <c r="AE173" s="375"/>
      <c r="AF173" s="375"/>
      <c r="AG173" s="375"/>
      <c r="AH173" s="375"/>
      <c r="AI173" s="375"/>
      <c r="AJ173" s="375"/>
      <c r="AK173" s="375"/>
      <c r="AL173" s="375"/>
      <c r="AM173" s="375"/>
      <c r="AN173" s="375"/>
      <c r="AO173" s="375"/>
      <c r="AP173" s="375"/>
      <c r="AQ173" s="375"/>
      <c r="AR173" s="375"/>
      <c r="AS173" s="375"/>
      <c r="AT173" s="375"/>
      <c r="AU173" s="375"/>
      <c r="AV173" s="375"/>
      <c r="AW173" s="375"/>
      <c r="AX173" s="375"/>
      <c r="AY173" s="375"/>
      <c r="AZ173" s="375"/>
      <c r="BA173" s="375"/>
      <c r="BB173" s="291"/>
    </row>
    <row r="174" spans="1:54" ht="23.25">
      <c r="A174" s="51"/>
      <c r="B174" s="376" t="s">
        <v>82</v>
      </c>
      <c r="C174" s="376"/>
      <c r="D174" s="376"/>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43"/>
      <c r="AB174" s="51"/>
      <c r="AC174" s="376" t="s">
        <v>82</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291"/>
    </row>
    <row r="175" spans="1:54" s="290" customFormat="1" ht="20.25" customHeight="1">
      <c r="A175" s="51"/>
      <c r="B175" s="200" t="str">
        <f>CONCATENATE("ધોરણ - ",SCHOOL!$D$2)</f>
        <v>ધોરણ - 6</v>
      </c>
      <c r="C175" s="377" t="s">
        <v>106</v>
      </c>
      <c r="D175" s="377"/>
      <c r="E175" s="377"/>
      <c r="F175" s="377"/>
      <c r="G175" s="377"/>
      <c r="H175" s="377"/>
      <c r="I175" s="377"/>
      <c r="J175" s="377"/>
      <c r="K175" s="374" t="s">
        <v>84</v>
      </c>
      <c r="L175" s="374"/>
      <c r="M175" s="374"/>
      <c r="N175" s="374"/>
      <c r="O175" s="374"/>
      <c r="P175" s="374"/>
      <c r="Q175" s="374"/>
      <c r="R175" s="374" t="s">
        <v>85</v>
      </c>
      <c r="S175" s="374"/>
      <c r="T175" s="374"/>
      <c r="U175" s="374"/>
      <c r="V175" s="374"/>
      <c r="W175" s="374"/>
      <c r="X175" s="374"/>
      <c r="Y175" s="374">
        <f>COUNTA(C178:V178)</f>
        <v>1</v>
      </c>
      <c r="Z175" s="374"/>
      <c r="AA175" s="65"/>
      <c r="AB175" s="51"/>
      <c r="AC175" s="200" t="str">
        <f>CONCATENATE("ધોરણ - ",SCHOOL!$D$2)</f>
        <v>ધોરણ - 6</v>
      </c>
      <c r="AD175" s="377" t="str">
        <f>C175</f>
        <v xml:space="preserve"> વિષય-સામાજિક વિજ્ઞાન</v>
      </c>
      <c r="AE175" s="377"/>
      <c r="AF175" s="377"/>
      <c r="AG175" s="377"/>
      <c r="AH175" s="377"/>
      <c r="AI175" s="377"/>
      <c r="AJ175" s="377"/>
      <c r="AK175" s="377"/>
      <c r="AL175" s="374" t="s">
        <v>102</v>
      </c>
      <c r="AM175" s="374"/>
      <c r="AN175" s="374"/>
      <c r="AO175" s="374"/>
      <c r="AP175" s="374"/>
      <c r="AQ175" s="374"/>
      <c r="AR175" s="374"/>
      <c r="AS175" s="374" t="s">
        <v>85</v>
      </c>
      <c r="AT175" s="374"/>
      <c r="AU175" s="374"/>
      <c r="AV175" s="374"/>
      <c r="AW175" s="374"/>
      <c r="AX175" s="374"/>
      <c r="AY175" s="374"/>
      <c r="AZ175" s="374">
        <f>COUNTA(AD178:AW178)</f>
        <v>1</v>
      </c>
      <c r="BA175" s="374"/>
      <c r="BB175" s="292"/>
    </row>
    <row r="176" spans="1:54" ht="18.75" customHeight="1">
      <c r="A176" s="358"/>
      <c r="B176" s="359" t="s">
        <v>86</v>
      </c>
      <c r="C176" s="362" t="s">
        <v>87</v>
      </c>
      <c r="D176" s="363"/>
      <c r="E176" s="363"/>
      <c r="F176" s="363"/>
      <c r="G176" s="363"/>
      <c r="H176" s="363"/>
      <c r="I176" s="363"/>
      <c r="J176" s="363"/>
      <c r="K176" s="363"/>
      <c r="L176" s="363"/>
      <c r="M176" s="363"/>
      <c r="N176" s="363"/>
      <c r="O176" s="363"/>
      <c r="P176" s="363"/>
      <c r="Q176" s="363"/>
      <c r="R176" s="363"/>
      <c r="S176" s="363"/>
      <c r="T176" s="363"/>
      <c r="U176" s="363"/>
      <c r="V176" s="364"/>
      <c r="W176" s="365" t="s">
        <v>88</v>
      </c>
      <c r="X176" s="366"/>
      <c r="Y176" s="367"/>
      <c r="Z176" s="371" t="s">
        <v>90</v>
      </c>
      <c r="AA176" s="291"/>
      <c r="AB176" s="358"/>
      <c r="AC176" s="359" t="s">
        <v>86</v>
      </c>
      <c r="AD176" s="362" t="s">
        <v>87</v>
      </c>
      <c r="AE176" s="363"/>
      <c r="AF176" s="363"/>
      <c r="AG176" s="363"/>
      <c r="AH176" s="363"/>
      <c r="AI176" s="363"/>
      <c r="AJ176" s="363"/>
      <c r="AK176" s="363"/>
      <c r="AL176" s="363"/>
      <c r="AM176" s="363"/>
      <c r="AN176" s="363"/>
      <c r="AO176" s="363"/>
      <c r="AP176" s="363"/>
      <c r="AQ176" s="363"/>
      <c r="AR176" s="363"/>
      <c r="AS176" s="363"/>
      <c r="AT176" s="363"/>
      <c r="AU176" s="363"/>
      <c r="AV176" s="363"/>
      <c r="AW176" s="364"/>
      <c r="AX176" s="365" t="s">
        <v>88</v>
      </c>
      <c r="AY176" s="366"/>
      <c r="AZ176" s="367"/>
      <c r="BA176" s="371" t="s">
        <v>90</v>
      </c>
      <c r="BB176" s="291"/>
    </row>
    <row r="177" spans="1:54" ht="15" customHeight="1">
      <c r="A177" s="358"/>
      <c r="B177" s="360"/>
      <c r="C177" s="45">
        <v>1</v>
      </c>
      <c r="D177" s="46">
        <v>2</v>
      </c>
      <c r="E177" s="46">
        <v>3</v>
      </c>
      <c r="F177" s="46">
        <v>4</v>
      </c>
      <c r="G177" s="46">
        <v>5</v>
      </c>
      <c r="H177" s="46">
        <v>6</v>
      </c>
      <c r="I177" s="46">
        <v>7</v>
      </c>
      <c r="J177" s="46">
        <v>8</v>
      </c>
      <c r="K177" s="46">
        <v>9</v>
      </c>
      <c r="L177" s="46">
        <v>10</v>
      </c>
      <c r="M177" s="46">
        <v>11</v>
      </c>
      <c r="N177" s="46">
        <v>12</v>
      </c>
      <c r="O177" s="46">
        <v>13</v>
      </c>
      <c r="P177" s="46">
        <v>14</v>
      </c>
      <c r="Q177" s="46">
        <v>15</v>
      </c>
      <c r="R177" s="46">
        <v>16</v>
      </c>
      <c r="S177" s="46">
        <v>17</v>
      </c>
      <c r="T177" s="46">
        <v>18</v>
      </c>
      <c r="U177" s="46">
        <v>19</v>
      </c>
      <c r="V177" s="47">
        <v>20</v>
      </c>
      <c r="W177" s="368"/>
      <c r="X177" s="369"/>
      <c r="Y177" s="370"/>
      <c r="Z177" s="372"/>
      <c r="AA177" s="291"/>
      <c r="AB177" s="358"/>
      <c r="AC177" s="360"/>
      <c r="AD177" s="45">
        <v>1</v>
      </c>
      <c r="AE177" s="46">
        <v>2</v>
      </c>
      <c r="AF177" s="46">
        <v>3</v>
      </c>
      <c r="AG177" s="46">
        <v>4</v>
      </c>
      <c r="AH177" s="46">
        <v>5</v>
      </c>
      <c r="AI177" s="46">
        <v>6</v>
      </c>
      <c r="AJ177" s="46">
        <v>7</v>
      </c>
      <c r="AK177" s="46">
        <v>8</v>
      </c>
      <c r="AL177" s="46">
        <v>9</v>
      </c>
      <c r="AM177" s="46">
        <v>10</v>
      </c>
      <c r="AN177" s="46">
        <v>11</v>
      </c>
      <c r="AO177" s="46">
        <v>12</v>
      </c>
      <c r="AP177" s="46">
        <v>13</v>
      </c>
      <c r="AQ177" s="46">
        <v>14</v>
      </c>
      <c r="AR177" s="46">
        <v>15</v>
      </c>
      <c r="AS177" s="46">
        <v>16</v>
      </c>
      <c r="AT177" s="46">
        <v>17</v>
      </c>
      <c r="AU177" s="46">
        <v>18</v>
      </c>
      <c r="AV177" s="46">
        <v>19</v>
      </c>
      <c r="AW177" s="47">
        <v>20</v>
      </c>
      <c r="AX177" s="368"/>
      <c r="AY177" s="369"/>
      <c r="AZ177" s="370"/>
      <c r="BA177" s="372"/>
      <c r="BB177" s="291"/>
    </row>
    <row r="178" spans="1:54" ht="45" customHeight="1">
      <c r="A178" s="358"/>
      <c r="B178" s="361"/>
      <c r="C178" s="293" t="s">
        <v>80</v>
      </c>
      <c r="D178" s="294"/>
      <c r="E178" s="294"/>
      <c r="F178" s="294"/>
      <c r="G178" s="294"/>
      <c r="H178" s="294"/>
      <c r="I178" s="294"/>
      <c r="J178" s="294"/>
      <c r="K178" s="294"/>
      <c r="L178" s="294"/>
      <c r="M178" s="294"/>
      <c r="N178" s="294"/>
      <c r="O178" s="294"/>
      <c r="P178" s="294"/>
      <c r="Q178" s="294"/>
      <c r="R178" s="294"/>
      <c r="S178" s="294"/>
      <c r="T178" s="294"/>
      <c r="U178" s="294"/>
      <c r="V178" s="295"/>
      <c r="W178" s="48" t="s">
        <v>91</v>
      </c>
      <c r="X178" s="49" t="s">
        <v>92</v>
      </c>
      <c r="Y178" s="50" t="s">
        <v>89</v>
      </c>
      <c r="Z178" s="373"/>
      <c r="AA178" s="291"/>
      <c r="AB178" s="358"/>
      <c r="AC178" s="361"/>
      <c r="AD178" s="293" t="s">
        <v>80</v>
      </c>
      <c r="AE178" s="294"/>
      <c r="AF178" s="294"/>
      <c r="AG178" s="294"/>
      <c r="AH178" s="294"/>
      <c r="AI178" s="294"/>
      <c r="AJ178" s="294"/>
      <c r="AK178" s="294"/>
      <c r="AL178" s="294"/>
      <c r="AM178" s="294"/>
      <c r="AN178" s="294"/>
      <c r="AO178" s="294"/>
      <c r="AP178" s="294"/>
      <c r="AQ178" s="294"/>
      <c r="AR178" s="294"/>
      <c r="AS178" s="294"/>
      <c r="AT178" s="294"/>
      <c r="AU178" s="294"/>
      <c r="AV178" s="294"/>
      <c r="AW178" s="295"/>
      <c r="AX178" s="48" t="s">
        <v>91</v>
      </c>
      <c r="AY178" s="49" t="s">
        <v>92</v>
      </c>
      <c r="AZ178" s="50" t="s">
        <v>89</v>
      </c>
      <c r="BA178" s="373"/>
      <c r="BB178" s="291"/>
    </row>
    <row r="179" spans="1:54" ht="20.25" customHeight="1">
      <c r="A179" s="201">
        <v>1</v>
      </c>
      <c r="B179" s="62" t="str">
        <f>B11</f>
        <v>ગોહેલ રાજેશભાઇ ચીથરભાઇ</v>
      </c>
      <c r="C179" s="296" t="s">
        <v>91</v>
      </c>
      <c r="D179" s="297"/>
      <c r="E179" s="297"/>
      <c r="F179" s="297"/>
      <c r="G179" s="297"/>
      <c r="H179" s="297"/>
      <c r="I179" s="297"/>
      <c r="J179" s="297"/>
      <c r="K179" s="297"/>
      <c r="L179" s="297"/>
      <c r="M179" s="297"/>
      <c r="N179" s="297"/>
      <c r="O179" s="297"/>
      <c r="P179" s="297"/>
      <c r="Q179" s="297"/>
      <c r="R179" s="297"/>
      <c r="S179" s="297"/>
      <c r="T179" s="297"/>
      <c r="U179" s="297"/>
      <c r="V179" s="298"/>
      <c r="W179" s="299">
        <f>COUNTIF(C179:V179,"√")</f>
        <v>1</v>
      </c>
      <c r="X179" s="300">
        <f>COUNTIF(C179:V179," ?")</f>
        <v>0</v>
      </c>
      <c r="Y179" s="300">
        <f>COUNTIF(C179:V179,"X")</f>
        <v>0</v>
      </c>
      <c r="Z179" s="301">
        <f>ROUND((40/$Y$175)*W179,0)</f>
        <v>40</v>
      </c>
      <c r="AA179" s="291"/>
      <c r="AB179" s="201">
        <v>1</v>
      </c>
      <c r="AC179" s="62" t="str">
        <f>B179</f>
        <v>ગોહેલ રાજેશભાઇ ચીથરભાઇ</v>
      </c>
      <c r="AD179" s="296" t="s">
        <v>91</v>
      </c>
      <c r="AE179" s="297"/>
      <c r="AF179" s="297"/>
      <c r="AG179" s="297"/>
      <c r="AH179" s="297"/>
      <c r="AI179" s="297"/>
      <c r="AJ179" s="297"/>
      <c r="AK179" s="297"/>
      <c r="AL179" s="297"/>
      <c r="AM179" s="297"/>
      <c r="AN179" s="297"/>
      <c r="AO179" s="297"/>
      <c r="AP179" s="297"/>
      <c r="AQ179" s="297"/>
      <c r="AR179" s="297"/>
      <c r="AS179" s="297"/>
      <c r="AT179" s="297"/>
      <c r="AU179" s="297"/>
      <c r="AV179" s="297"/>
      <c r="AW179" s="298"/>
      <c r="AX179" s="299">
        <f>COUNTIF(AD179:AW179,"√")</f>
        <v>1</v>
      </c>
      <c r="AY179" s="300">
        <f>COUNTIF(AD179:AW179," ?")</f>
        <v>0</v>
      </c>
      <c r="AZ179" s="300">
        <f>COUNTIF(AD179:AW179,"X")</f>
        <v>0</v>
      </c>
      <c r="BA179" s="301">
        <f>ROUND((40/$AZ$175)*AX179,0)</f>
        <v>40</v>
      </c>
      <c r="BB179" s="291"/>
    </row>
    <row r="180" spans="1:54" ht="20.25" customHeight="1">
      <c r="A180" s="201">
        <v>2</v>
      </c>
      <c r="B180" s="63" t="str">
        <f t="shared" ref="B180:B213" si="39">B12</f>
        <v>ખિમસુરીયા સાહિલકુમાર અરજણભાઇ</v>
      </c>
      <c r="C180" s="302" t="s">
        <v>91</v>
      </c>
      <c r="D180" s="303"/>
      <c r="E180" s="303"/>
      <c r="F180" s="303"/>
      <c r="G180" s="303"/>
      <c r="H180" s="303"/>
      <c r="I180" s="303"/>
      <c r="J180" s="303"/>
      <c r="K180" s="303"/>
      <c r="L180" s="303"/>
      <c r="M180" s="303"/>
      <c r="N180" s="303"/>
      <c r="O180" s="303"/>
      <c r="P180" s="303"/>
      <c r="Q180" s="303"/>
      <c r="R180" s="303"/>
      <c r="S180" s="303"/>
      <c r="T180" s="303"/>
      <c r="U180" s="303"/>
      <c r="V180" s="304"/>
      <c r="W180" s="305">
        <f t="shared" ref="W180:W213" si="40">COUNTIF(C180:V180,"√")</f>
        <v>1</v>
      </c>
      <c r="X180" s="306">
        <f t="shared" ref="X180:X213" si="41">COUNTIF(C180:V180," ?")</f>
        <v>0</v>
      </c>
      <c r="Y180" s="306">
        <f t="shared" ref="Y180:Y213" si="42">COUNTIF(C180:V180,"X")</f>
        <v>0</v>
      </c>
      <c r="Z180" s="307">
        <f t="shared" ref="Z180:Z213" si="43">ROUND((40/$Y$175)*W180,0)</f>
        <v>40</v>
      </c>
      <c r="AA180" s="291"/>
      <c r="AB180" s="201">
        <v>2</v>
      </c>
      <c r="AC180" s="63" t="str">
        <f t="shared" ref="AC180:AC213" si="44">B180</f>
        <v>ખિમસુરીયા સાહિલકુમાર અરજણભાઇ</v>
      </c>
      <c r="AD180" s="302" t="s">
        <v>91</v>
      </c>
      <c r="AE180" s="303"/>
      <c r="AF180" s="303"/>
      <c r="AG180" s="303"/>
      <c r="AH180" s="303"/>
      <c r="AI180" s="303"/>
      <c r="AJ180" s="303"/>
      <c r="AK180" s="303"/>
      <c r="AL180" s="303"/>
      <c r="AM180" s="303"/>
      <c r="AN180" s="303"/>
      <c r="AO180" s="303"/>
      <c r="AP180" s="303"/>
      <c r="AQ180" s="303"/>
      <c r="AR180" s="303"/>
      <c r="AS180" s="303"/>
      <c r="AT180" s="303"/>
      <c r="AU180" s="303"/>
      <c r="AV180" s="303"/>
      <c r="AW180" s="304"/>
      <c r="AX180" s="305">
        <f t="shared" ref="AX180:AX213" si="45">COUNTIF(AD180:AW180,"√")</f>
        <v>1</v>
      </c>
      <c r="AY180" s="306">
        <f t="shared" ref="AY180:AY213" si="46">COUNTIF(AD180:AW180," ?")</f>
        <v>0</v>
      </c>
      <c r="AZ180" s="306">
        <f t="shared" ref="AZ180:AZ213" si="47">COUNTIF(AD180:AW180,"X")</f>
        <v>0</v>
      </c>
      <c r="BA180" s="307">
        <f t="shared" ref="BA180:BA213" si="48">ROUND((40/$AZ$175)*AX180,0)</f>
        <v>40</v>
      </c>
      <c r="BB180" s="291"/>
    </row>
    <row r="181" spans="1:54" ht="20.25" customHeight="1">
      <c r="A181" s="201">
        <v>3</v>
      </c>
      <c r="B181" s="63" t="str">
        <f t="shared" si="39"/>
        <v>ગરણિયા મયુરકુમાર અશોકભાઇ</v>
      </c>
      <c r="C181" s="302" t="s">
        <v>91</v>
      </c>
      <c r="D181" s="303"/>
      <c r="E181" s="303"/>
      <c r="F181" s="303"/>
      <c r="G181" s="303"/>
      <c r="H181" s="303"/>
      <c r="I181" s="303"/>
      <c r="J181" s="303"/>
      <c r="K181" s="303"/>
      <c r="L181" s="303"/>
      <c r="M181" s="303"/>
      <c r="N181" s="303"/>
      <c r="O181" s="303"/>
      <c r="P181" s="303"/>
      <c r="Q181" s="303"/>
      <c r="R181" s="303"/>
      <c r="S181" s="303"/>
      <c r="T181" s="303"/>
      <c r="U181" s="303"/>
      <c r="V181" s="304"/>
      <c r="W181" s="305">
        <f t="shared" si="40"/>
        <v>1</v>
      </c>
      <c r="X181" s="306">
        <f t="shared" si="41"/>
        <v>0</v>
      </c>
      <c r="Y181" s="306">
        <f t="shared" si="42"/>
        <v>0</v>
      </c>
      <c r="Z181" s="307">
        <f t="shared" si="43"/>
        <v>40</v>
      </c>
      <c r="AA181" s="291"/>
      <c r="AB181" s="201">
        <v>3</v>
      </c>
      <c r="AC181" s="63" t="str">
        <f t="shared" si="44"/>
        <v>ગરણિયા મયુરકુમાર અશોકભાઇ</v>
      </c>
      <c r="AD181" s="302" t="s">
        <v>91</v>
      </c>
      <c r="AE181" s="303"/>
      <c r="AF181" s="303"/>
      <c r="AG181" s="303"/>
      <c r="AH181" s="303"/>
      <c r="AI181" s="303"/>
      <c r="AJ181" s="303"/>
      <c r="AK181" s="303"/>
      <c r="AL181" s="303"/>
      <c r="AM181" s="303"/>
      <c r="AN181" s="303"/>
      <c r="AO181" s="303"/>
      <c r="AP181" s="303"/>
      <c r="AQ181" s="303"/>
      <c r="AR181" s="303"/>
      <c r="AS181" s="303"/>
      <c r="AT181" s="303"/>
      <c r="AU181" s="303"/>
      <c r="AV181" s="303"/>
      <c r="AW181" s="304"/>
      <c r="AX181" s="305">
        <f t="shared" si="45"/>
        <v>1</v>
      </c>
      <c r="AY181" s="306">
        <f t="shared" si="46"/>
        <v>0</v>
      </c>
      <c r="AZ181" s="306">
        <f t="shared" si="47"/>
        <v>0</v>
      </c>
      <c r="BA181" s="307">
        <f t="shared" si="48"/>
        <v>40</v>
      </c>
      <c r="BB181" s="291"/>
    </row>
    <row r="182" spans="1:54" ht="20.25" customHeight="1">
      <c r="A182" s="201">
        <v>4</v>
      </c>
      <c r="B182" s="63" t="str">
        <f t="shared" si="39"/>
        <v>ગરણિયા અલ્પેશકુમાર મેરામભાઇ</v>
      </c>
      <c r="C182" s="302" t="s">
        <v>91</v>
      </c>
      <c r="D182" s="303"/>
      <c r="E182" s="303"/>
      <c r="F182" s="303"/>
      <c r="G182" s="303"/>
      <c r="H182" s="303"/>
      <c r="I182" s="303"/>
      <c r="J182" s="303"/>
      <c r="K182" s="303"/>
      <c r="L182" s="303"/>
      <c r="M182" s="303"/>
      <c r="N182" s="303"/>
      <c r="O182" s="303"/>
      <c r="P182" s="303"/>
      <c r="Q182" s="303"/>
      <c r="R182" s="303"/>
      <c r="S182" s="303"/>
      <c r="T182" s="303"/>
      <c r="U182" s="303"/>
      <c r="V182" s="304"/>
      <c r="W182" s="305">
        <f t="shared" si="40"/>
        <v>1</v>
      </c>
      <c r="X182" s="306">
        <f t="shared" si="41"/>
        <v>0</v>
      </c>
      <c r="Y182" s="306">
        <f t="shared" si="42"/>
        <v>0</v>
      </c>
      <c r="Z182" s="307">
        <f t="shared" si="43"/>
        <v>40</v>
      </c>
      <c r="AA182" s="291"/>
      <c r="AB182" s="201">
        <v>4</v>
      </c>
      <c r="AC182" s="63" t="str">
        <f t="shared" si="44"/>
        <v>ગરણિયા અલ્પેશકુમાર મેરામભાઇ</v>
      </c>
      <c r="AD182" s="302" t="s">
        <v>91</v>
      </c>
      <c r="AE182" s="303"/>
      <c r="AF182" s="303"/>
      <c r="AG182" s="303"/>
      <c r="AH182" s="303"/>
      <c r="AI182" s="303"/>
      <c r="AJ182" s="303"/>
      <c r="AK182" s="303"/>
      <c r="AL182" s="303"/>
      <c r="AM182" s="303"/>
      <c r="AN182" s="303"/>
      <c r="AO182" s="303"/>
      <c r="AP182" s="303"/>
      <c r="AQ182" s="303"/>
      <c r="AR182" s="303"/>
      <c r="AS182" s="303"/>
      <c r="AT182" s="303"/>
      <c r="AU182" s="303"/>
      <c r="AV182" s="303"/>
      <c r="AW182" s="304"/>
      <c r="AX182" s="305">
        <f t="shared" si="45"/>
        <v>1</v>
      </c>
      <c r="AY182" s="306">
        <f t="shared" si="46"/>
        <v>0</v>
      </c>
      <c r="AZ182" s="306">
        <f t="shared" si="47"/>
        <v>0</v>
      </c>
      <c r="BA182" s="307">
        <f t="shared" si="48"/>
        <v>40</v>
      </c>
      <c r="BB182" s="291"/>
    </row>
    <row r="183" spans="1:54" ht="20.25" customHeight="1">
      <c r="A183" s="201">
        <v>5</v>
      </c>
      <c r="B183" s="63" t="str">
        <f t="shared" si="39"/>
        <v>ગરણિયા મિલન પોપટભાઇ</v>
      </c>
      <c r="C183" s="302" t="s">
        <v>91</v>
      </c>
      <c r="D183" s="303"/>
      <c r="E183" s="303"/>
      <c r="F183" s="303"/>
      <c r="G183" s="303"/>
      <c r="H183" s="303"/>
      <c r="I183" s="303"/>
      <c r="J183" s="303"/>
      <c r="K183" s="303"/>
      <c r="L183" s="303"/>
      <c r="M183" s="303"/>
      <c r="N183" s="303"/>
      <c r="O183" s="303"/>
      <c r="P183" s="303"/>
      <c r="Q183" s="303"/>
      <c r="R183" s="303"/>
      <c r="S183" s="303"/>
      <c r="T183" s="303"/>
      <c r="U183" s="303"/>
      <c r="V183" s="304"/>
      <c r="W183" s="305">
        <f t="shared" si="40"/>
        <v>1</v>
      </c>
      <c r="X183" s="306">
        <f t="shared" si="41"/>
        <v>0</v>
      </c>
      <c r="Y183" s="306">
        <f t="shared" si="42"/>
        <v>0</v>
      </c>
      <c r="Z183" s="307">
        <f t="shared" si="43"/>
        <v>40</v>
      </c>
      <c r="AA183" s="291"/>
      <c r="AB183" s="201">
        <v>5</v>
      </c>
      <c r="AC183" s="63" t="str">
        <f t="shared" si="44"/>
        <v>ગરણિયા મિલન પોપટભાઇ</v>
      </c>
      <c r="AD183" s="302" t="s">
        <v>91</v>
      </c>
      <c r="AE183" s="303"/>
      <c r="AF183" s="303"/>
      <c r="AG183" s="303"/>
      <c r="AH183" s="303"/>
      <c r="AI183" s="303"/>
      <c r="AJ183" s="303"/>
      <c r="AK183" s="303"/>
      <c r="AL183" s="303"/>
      <c r="AM183" s="303"/>
      <c r="AN183" s="303"/>
      <c r="AO183" s="303"/>
      <c r="AP183" s="303"/>
      <c r="AQ183" s="303"/>
      <c r="AR183" s="303"/>
      <c r="AS183" s="303"/>
      <c r="AT183" s="303"/>
      <c r="AU183" s="303"/>
      <c r="AV183" s="303"/>
      <c r="AW183" s="304"/>
      <c r="AX183" s="305">
        <f t="shared" si="45"/>
        <v>1</v>
      </c>
      <c r="AY183" s="306">
        <f t="shared" si="46"/>
        <v>0</v>
      </c>
      <c r="AZ183" s="306">
        <f t="shared" si="47"/>
        <v>0</v>
      </c>
      <c r="BA183" s="307">
        <f t="shared" si="48"/>
        <v>40</v>
      </c>
      <c r="BB183" s="291"/>
    </row>
    <row r="184" spans="1:54" ht="20.25" customHeight="1">
      <c r="A184" s="201">
        <v>6</v>
      </c>
      <c r="B184" s="63" t="str">
        <f t="shared" si="39"/>
        <v>ગરણિયા મોહિત રાવતભાઇ</v>
      </c>
      <c r="C184" s="302" t="s">
        <v>91</v>
      </c>
      <c r="D184" s="303"/>
      <c r="E184" s="303"/>
      <c r="F184" s="303"/>
      <c r="G184" s="303"/>
      <c r="H184" s="303"/>
      <c r="I184" s="303"/>
      <c r="J184" s="303"/>
      <c r="K184" s="303"/>
      <c r="L184" s="303"/>
      <c r="M184" s="303"/>
      <c r="N184" s="303"/>
      <c r="O184" s="303"/>
      <c r="P184" s="303"/>
      <c r="Q184" s="303"/>
      <c r="R184" s="303"/>
      <c r="S184" s="303"/>
      <c r="T184" s="303"/>
      <c r="U184" s="303"/>
      <c r="V184" s="304"/>
      <c r="W184" s="305">
        <f t="shared" si="40"/>
        <v>1</v>
      </c>
      <c r="X184" s="306">
        <f t="shared" si="41"/>
        <v>0</v>
      </c>
      <c r="Y184" s="306">
        <f t="shared" si="42"/>
        <v>0</v>
      </c>
      <c r="Z184" s="307">
        <f t="shared" si="43"/>
        <v>40</v>
      </c>
      <c r="AA184" s="291"/>
      <c r="AB184" s="201">
        <v>6</v>
      </c>
      <c r="AC184" s="63" t="str">
        <f t="shared" si="44"/>
        <v>ગરણિયા મોહિત રાવતભાઇ</v>
      </c>
      <c r="AD184" s="302" t="s">
        <v>91</v>
      </c>
      <c r="AE184" s="303"/>
      <c r="AF184" s="303"/>
      <c r="AG184" s="303"/>
      <c r="AH184" s="303"/>
      <c r="AI184" s="303"/>
      <c r="AJ184" s="303"/>
      <c r="AK184" s="303"/>
      <c r="AL184" s="303"/>
      <c r="AM184" s="303"/>
      <c r="AN184" s="303"/>
      <c r="AO184" s="303"/>
      <c r="AP184" s="303"/>
      <c r="AQ184" s="303"/>
      <c r="AR184" s="303"/>
      <c r="AS184" s="303"/>
      <c r="AT184" s="303"/>
      <c r="AU184" s="303"/>
      <c r="AV184" s="303"/>
      <c r="AW184" s="304"/>
      <c r="AX184" s="305">
        <f t="shared" si="45"/>
        <v>1</v>
      </c>
      <c r="AY184" s="306">
        <f t="shared" si="46"/>
        <v>0</v>
      </c>
      <c r="AZ184" s="306">
        <f t="shared" si="47"/>
        <v>0</v>
      </c>
      <c r="BA184" s="307">
        <f t="shared" si="48"/>
        <v>40</v>
      </c>
      <c r="BB184" s="291"/>
    </row>
    <row r="185" spans="1:54" ht="20.25" customHeight="1">
      <c r="A185" s="201">
        <v>7</v>
      </c>
      <c r="B185" s="63" t="str">
        <f t="shared" si="39"/>
        <v>ગરણિયા સુમિત પોપટભાઇ</v>
      </c>
      <c r="C185" s="302" t="s">
        <v>91</v>
      </c>
      <c r="D185" s="303"/>
      <c r="E185" s="303"/>
      <c r="F185" s="303"/>
      <c r="G185" s="303"/>
      <c r="H185" s="303"/>
      <c r="I185" s="303"/>
      <c r="J185" s="303"/>
      <c r="K185" s="303"/>
      <c r="L185" s="303"/>
      <c r="M185" s="303"/>
      <c r="N185" s="303"/>
      <c r="O185" s="303"/>
      <c r="P185" s="303"/>
      <c r="Q185" s="303"/>
      <c r="R185" s="303"/>
      <c r="S185" s="303"/>
      <c r="T185" s="303"/>
      <c r="U185" s="303"/>
      <c r="V185" s="304"/>
      <c r="W185" s="305">
        <f t="shared" si="40"/>
        <v>1</v>
      </c>
      <c r="X185" s="306">
        <f t="shared" si="41"/>
        <v>0</v>
      </c>
      <c r="Y185" s="306">
        <f t="shared" si="42"/>
        <v>0</v>
      </c>
      <c r="Z185" s="307">
        <f t="shared" si="43"/>
        <v>40</v>
      </c>
      <c r="AA185" s="291"/>
      <c r="AB185" s="201">
        <v>7</v>
      </c>
      <c r="AC185" s="63" t="str">
        <f t="shared" si="44"/>
        <v>ગરણિયા સુમિત પોપટભાઇ</v>
      </c>
      <c r="AD185" s="302" t="s">
        <v>91</v>
      </c>
      <c r="AE185" s="303"/>
      <c r="AF185" s="303"/>
      <c r="AG185" s="303"/>
      <c r="AH185" s="303"/>
      <c r="AI185" s="303"/>
      <c r="AJ185" s="303"/>
      <c r="AK185" s="303"/>
      <c r="AL185" s="303"/>
      <c r="AM185" s="303"/>
      <c r="AN185" s="303"/>
      <c r="AO185" s="303"/>
      <c r="AP185" s="303"/>
      <c r="AQ185" s="303"/>
      <c r="AR185" s="303"/>
      <c r="AS185" s="303"/>
      <c r="AT185" s="303"/>
      <c r="AU185" s="303"/>
      <c r="AV185" s="303"/>
      <c r="AW185" s="304"/>
      <c r="AX185" s="305">
        <f t="shared" si="45"/>
        <v>1</v>
      </c>
      <c r="AY185" s="306">
        <f t="shared" si="46"/>
        <v>0</v>
      </c>
      <c r="AZ185" s="306">
        <f t="shared" si="47"/>
        <v>0</v>
      </c>
      <c r="BA185" s="307">
        <f t="shared" si="48"/>
        <v>40</v>
      </c>
      <c r="BB185" s="291"/>
    </row>
    <row r="186" spans="1:54" ht="20.25" customHeight="1">
      <c r="A186" s="201">
        <v>8</v>
      </c>
      <c r="B186" s="63" t="str">
        <f t="shared" si="39"/>
        <v>ગરણિયા રામકુભાઇ સાર્દૂળભાઇ</v>
      </c>
      <c r="C186" s="302" t="s">
        <v>91</v>
      </c>
      <c r="D186" s="303"/>
      <c r="E186" s="303"/>
      <c r="F186" s="303"/>
      <c r="G186" s="303"/>
      <c r="H186" s="303"/>
      <c r="I186" s="303"/>
      <c r="J186" s="303"/>
      <c r="K186" s="303"/>
      <c r="L186" s="303"/>
      <c r="M186" s="303"/>
      <c r="N186" s="303"/>
      <c r="O186" s="303"/>
      <c r="P186" s="303"/>
      <c r="Q186" s="303"/>
      <c r="R186" s="303"/>
      <c r="S186" s="303"/>
      <c r="T186" s="303"/>
      <c r="U186" s="303"/>
      <c r="V186" s="304"/>
      <c r="W186" s="305">
        <f t="shared" si="40"/>
        <v>1</v>
      </c>
      <c r="X186" s="306">
        <f t="shared" si="41"/>
        <v>0</v>
      </c>
      <c r="Y186" s="306">
        <f t="shared" si="42"/>
        <v>0</v>
      </c>
      <c r="Z186" s="307">
        <f t="shared" si="43"/>
        <v>40</v>
      </c>
      <c r="AA186" s="291"/>
      <c r="AB186" s="201">
        <v>8</v>
      </c>
      <c r="AC186" s="63" t="str">
        <f t="shared" si="44"/>
        <v>ગરણિયા રામકુભાઇ સાર્દૂળભાઇ</v>
      </c>
      <c r="AD186" s="302" t="s">
        <v>91</v>
      </c>
      <c r="AE186" s="303"/>
      <c r="AF186" s="303"/>
      <c r="AG186" s="303"/>
      <c r="AH186" s="303"/>
      <c r="AI186" s="303"/>
      <c r="AJ186" s="303"/>
      <c r="AK186" s="303"/>
      <c r="AL186" s="303"/>
      <c r="AM186" s="303"/>
      <c r="AN186" s="303"/>
      <c r="AO186" s="303"/>
      <c r="AP186" s="303"/>
      <c r="AQ186" s="303"/>
      <c r="AR186" s="303"/>
      <c r="AS186" s="303"/>
      <c r="AT186" s="303"/>
      <c r="AU186" s="303"/>
      <c r="AV186" s="303"/>
      <c r="AW186" s="304"/>
      <c r="AX186" s="305">
        <f t="shared" si="45"/>
        <v>1</v>
      </c>
      <c r="AY186" s="306">
        <f t="shared" si="46"/>
        <v>0</v>
      </c>
      <c r="AZ186" s="306">
        <f t="shared" si="47"/>
        <v>0</v>
      </c>
      <c r="BA186" s="307">
        <f t="shared" si="48"/>
        <v>40</v>
      </c>
      <c r="BB186" s="291"/>
    </row>
    <row r="187" spans="1:54" ht="20.25" customHeight="1">
      <c r="A187" s="201">
        <v>9</v>
      </c>
      <c r="B187" s="63" t="str">
        <f t="shared" si="39"/>
        <v>ડેર હિતેષકુમાર પ્રતાપભાઇ</v>
      </c>
      <c r="C187" s="302" t="s">
        <v>91</v>
      </c>
      <c r="D187" s="303"/>
      <c r="E187" s="303"/>
      <c r="F187" s="303"/>
      <c r="G187" s="303"/>
      <c r="H187" s="303"/>
      <c r="I187" s="303"/>
      <c r="J187" s="303"/>
      <c r="K187" s="303"/>
      <c r="L187" s="303"/>
      <c r="M187" s="303"/>
      <c r="N187" s="303"/>
      <c r="O187" s="303"/>
      <c r="P187" s="303"/>
      <c r="Q187" s="303"/>
      <c r="R187" s="303"/>
      <c r="S187" s="303"/>
      <c r="T187" s="303"/>
      <c r="U187" s="303"/>
      <c r="V187" s="304"/>
      <c r="W187" s="305">
        <f t="shared" si="40"/>
        <v>1</v>
      </c>
      <c r="X187" s="306">
        <f t="shared" si="41"/>
        <v>0</v>
      </c>
      <c r="Y187" s="306">
        <f t="shared" si="42"/>
        <v>0</v>
      </c>
      <c r="Z187" s="307">
        <f t="shared" si="43"/>
        <v>40</v>
      </c>
      <c r="AA187" s="291"/>
      <c r="AB187" s="201">
        <v>9</v>
      </c>
      <c r="AC187" s="63" t="str">
        <f t="shared" si="44"/>
        <v>ડેર હિતેષકુમાર પ્રતાપભાઇ</v>
      </c>
      <c r="AD187" s="302" t="s">
        <v>91</v>
      </c>
      <c r="AE187" s="303"/>
      <c r="AF187" s="303"/>
      <c r="AG187" s="303"/>
      <c r="AH187" s="303"/>
      <c r="AI187" s="303"/>
      <c r="AJ187" s="303"/>
      <c r="AK187" s="303"/>
      <c r="AL187" s="303"/>
      <c r="AM187" s="303"/>
      <c r="AN187" s="303"/>
      <c r="AO187" s="303"/>
      <c r="AP187" s="303"/>
      <c r="AQ187" s="303"/>
      <c r="AR187" s="303"/>
      <c r="AS187" s="303"/>
      <c r="AT187" s="303"/>
      <c r="AU187" s="303"/>
      <c r="AV187" s="303"/>
      <c r="AW187" s="304"/>
      <c r="AX187" s="305">
        <f t="shared" si="45"/>
        <v>1</v>
      </c>
      <c r="AY187" s="306">
        <f t="shared" si="46"/>
        <v>0</v>
      </c>
      <c r="AZ187" s="306">
        <f t="shared" si="47"/>
        <v>0</v>
      </c>
      <c r="BA187" s="307">
        <f t="shared" si="48"/>
        <v>40</v>
      </c>
      <c r="BB187" s="291"/>
    </row>
    <row r="188" spans="1:54" ht="20.25" customHeight="1">
      <c r="A188" s="201">
        <v>10</v>
      </c>
      <c r="B188" s="63" t="str">
        <f t="shared" si="39"/>
        <v>વેકરીયા વિશાલકુમાર દિપકભાઇ</v>
      </c>
      <c r="C188" s="302" t="s">
        <v>91</v>
      </c>
      <c r="D188" s="303"/>
      <c r="E188" s="303"/>
      <c r="F188" s="303"/>
      <c r="G188" s="303"/>
      <c r="H188" s="303"/>
      <c r="I188" s="303"/>
      <c r="J188" s="303"/>
      <c r="K188" s="303"/>
      <c r="L188" s="303"/>
      <c r="M188" s="303"/>
      <c r="N188" s="303"/>
      <c r="O188" s="303"/>
      <c r="P188" s="303"/>
      <c r="Q188" s="303"/>
      <c r="R188" s="303"/>
      <c r="S188" s="303"/>
      <c r="T188" s="303"/>
      <c r="U188" s="303"/>
      <c r="V188" s="304"/>
      <c r="W188" s="305">
        <f t="shared" si="40"/>
        <v>1</v>
      </c>
      <c r="X188" s="306">
        <f t="shared" si="41"/>
        <v>0</v>
      </c>
      <c r="Y188" s="306">
        <f t="shared" si="42"/>
        <v>0</v>
      </c>
      <c r="Z188" s="307">
        <f t="shared" si="43"/>
        <v>40</v>
      </c>
      <c r="AA188" s="291"/>
      <c r="AB188" s="201">
        <v>10</v>
      </c>
      <c r="AC188" s="63" t="str">
        <f t="shared" si="44"/>
        <v>વેકરીયા વિશાલકુમાર દિપકભાઇ</v>
      </c>
      <c r="AD188" s="302" t="s">
        <v>91</v>
      </c>
      <c r="AE188" s="303"/>
      <c r="AF188" s="303"/>
      <c r="AG188" s="303"/>
      <c r="AH188" s="303"/>
      <c r="AI188" s="303"/>
      <c r="AJ188" s="303"/>
      <c r="AK188" s="303"/>
      <c r="AL188" s="303"/>
      <c r="AM188" s="303"/>
      <c r="AN188" s="303"/>
      <c r="AO188" s="303"/>
      <c r="AP188" s="303"/>
      <c r="AQ188" s="303"/>
      <c r="AR188" s="303"/>
      <c r="AS188" s="303"/>
      <c r="AT188" s="303"/>
      <c r="AU188" s="303"/>
      <c r="AV188" s="303"/>
      <c r="AW188" s="304"/>
      <c r="AX188" s="305">
        <f t="shared" si="45"/>
        <v>1</v>
      </c>
      <c r="AY188" s="306">
        <f t="shared" si="46"/>
        <v>0</v>
      </c>
      <c r="AZ188" s="306">
        <f t="shared" si="47"/>
        <v>0</v>
      </c>
      <c r="BA188" s="307">
        <f t="shared" si="48"/>
        <v>40</v>
      </c>
      <c r="BB188" s="291"/>
    </row>
    <row r="189" spans="1:54" ht="20.25" customHeight="1">
      <c r="A189" s="201">
        <v>11</v>
      </c>
      <c r="B189" s="63" t="str">
        <f t="shared" si="39"/>
        <v>માણસુરીયા મહેન્દ્રભાઇ ભૂપતભાઇ</v>
      </c>
      <c r="C189" s="302" t="s">
        <v>91</v>
      </c>
      <c r="D189" s="303"/>
      <c r="E189" s="303"/>
      <c r="F189" s="303"/>
      <c r="G189" s="303"/>
      <c r="H189" s="303"/>
      <c r="I189" s="303"/>
      <c r="J189" s="303"/>
      <c r="K189" s="303"/>
      <c r="L189" s="303"/>
      <c r="M189" s="303"/>
      <c r="N189" s="303"/>
      <c r="O189" s="303"/>
      <c r="P189" s="303"/>
      <c r="Q189" s="303"/>
      <c r="R189" s="303"/>
      <c r="S189" s="303"/>
      <c r="T189" s="303"/>
      <c r="U189" s="303"/>
      <c r="V189" s="304"/>
      <c r="W189" s="305">
        <f t="shared" si="40"/>
        <v>1</v>
      </c>
      <c r="X189" s="306">
        <f t="shared" si="41"/>
        <v>0</v>
      </c>
      <c r="Y189" s="306">
        <f t="shared" si="42"/>
        <v>0</v>
      </c>
      <c r="Z189" s="307">
        <f t="shared" si="43"/>
        <v>40</v>
      </c>
      <c r="AA189" s="291"/>
      <c r="AB189" s="201">
        <v>11</v>
      </c>
      <c r="AC189" s="63" t="str">
        <f t="shared" si="44"/>
        <v>માણસુરીયા મહેન્દ્રભાઇ ભૂપતભાઇ</v>
      </c>
      <c r="AD189" s="302" t="s">
        <v>91</v>
      </c>
      <c r="AE189" s="303"/>
      <c r="AF189" s="303"/>
      <c r="AG189" s="303"/>
      <c r="AH189" s="303"/>
      <c r="AI189" s="303"/>
      <c r="AJ189" s="303"/>
      <c r="AK189" s="303"/>
      <c r="AL189" s="303"/>
      <c r="AM189" s="303"/>
      <c r="AN189" s="303"/>
      <c r="AO189" s="303"/>
      <c r="AP189" s="303"/>
      <c r="AQ189" s="303"/>
      <c r="AR189" s="303"/>
      <c r="AS189" s="303"/>
      <c r="AT189" s="303"/>
      <c r="AU189" s="303"/>
      <c r="AV189" s="303"/>
      <c r="AW189" s="304"/>
      <c r="AX189" s="305">
        <f t="shared" si="45"/>
        <v>1</v>
      </c>
      <c r="AY189" s="306">
        <f t="shared" si="46"/>
        <v>0</v>
      </c>
      <c r="AZ189" s="306">
        <f t="shared" si="47"/>
        <v>0</v>
      </c>
      <c r="BA189" s="307">
        <f t="shared" si="48"/>
        <v>40</v>
      </c>
      <c r="BB189" s="291"/>
    </row>
    <row r="190" spans="1:54" ht="20.25" customHeight="1">
      <c r="A190" s="201">
        <v>12</v>
      </c>
      <c r="B190" s="63" t="str">
        <f t="shared" si="39"/>
        <v>પરમાર અજયકુમાર રમેશભાઇ</v>
      </c>
      <c r="C190" s="302" t="s">
        <v>91</v>
      </c>
      <c r="D190" s="303"/>
      <c r="E190" s="303"/>
      <c r="F190" s="303"/>
      <c r="G190" s="303"/>
      <c r="H190" s="303"/>
      <c r="I190" s="303"/>
      <c r="J190" s="303"/>
      <c r="K190" s="303"/>
      <c r="L190" s="303"/>
      <c r="M190" s="303"/>
      <c r="N190" s="303"/>
      <c r="O190" s="303"/>
      <c r="P190" s="303"/>
      <c r="Q190" s="303"/>
      <c r="R190" s="303"/>
      <c r="S190" s="303"/>
      <c r="T190" s="303"/>
      <c r="U190" s="303"/>
      <c r="V190" s="304"/>
      <c r="W190" s="305">
        <f t="shared" si="40"/>
        <v>1</v>
      </c>
      <c r="X190" s="306">
        <f t="shared" si="41"/>
        <v>0</v>
      </c>
      <c r="Y190" s="306">
        <f t="shared" si="42"/>
        <v>0</v>
      </c>
      <c r="Z190" s="307">
        <f t="shared" si="43"/>
        <v>40</v>
      </c>
      <c r="AA190" s="291"/>
      <c r="AB190" s="201">
        <v>12</v>
      </c>
      <c r="AC190" s="63" t="str">
        <f t="shared" si="44"/>
        <v>પરમાર અજયકુમાર રમેશભાઇ</v>
      </c>
      <c r="AD190" s="302" t="s">
        <v>91</v>
      </c>
      <c r="AE190" s="303"/>
      <c r="AF190" s="303"/>
      <c r="AG190" s="303"/>
      <c r="AH190" s="303"/>
      <c r="AI190" s="303"/>
      <c r="AJ190" s="303"/>
      <c r="AK190" s="303"/>
      <c r="AL190" s="303"/>
      <c r="AM190" s="303"/>
      <c r="AN190" s="303"/>
      <c r="AO190" s="303"/>
      <c r="AP190" s="303"/>
      <c r="AQ190" s="303"/>
      <c r="AR190" s="303"/>
      <c r="AS190" s="303"/>
      <c r="AT190" s="303"/>
      <c r="AU190" s="303"/>
      <c r="AV190" s="303"/>
      <c r="AW190" s="304"/>
      <c r="AX190" s="305">
        <f t="shared" si="45"/>
        <v>1</v>
      </c>
      <c r="AY190" s="306">
        <f t="shared" si="46"/>
        <v>0</v>
      </c>
      <c r="AZ190" s="306">
        <f t="shared" si="47"/>
        <v>0</v>
      </c>
      <c r="BA190" s="307">
        <f t="shared" si="48"/>
        <v>40</v>
      </c>
      <c r="BB190" s="291"/>
    </row>
    <row r="191" spans="1:54" ht="20.25" customHeight="1">
      <c r="A191" s="201">
        <v>13</v>
      </c>
      <c r="B191" s="63" t="str">
        <f t="shared" si="39"/>
        <v>કંડોળીયા અલ્પેશકુમાર ભરતભાઇ</v>
      </c>
      <c r="C191" s="302" t="s">
        <v>92</v>
      </c>
      <c r="D191" s="303"/>
      <c r="E191" s="303"/>
      <c r="F191" s="303"/>
      <c r="G191" s="303"/>
      <c r="H191" s="303"/>
      <c r="I191" s="303"/>
      <c r="J191" s="303"/>
      <c r="K191" s="303"/>
      <c r="L191" s="303"/>
      <c r="M191" s="303"/>
      <c r="N191" s="303"/>
      <c r="O191" s="303"/>
      <c r="P191" s="303"/>
      <c r="Q191" s="303"/>
      <c r="R191" s="303"/>
      <c r="S191" s="303"/>
      <c r="T191" s="303"/>
      <c r="U191" s="303"/>
      <c r="V191" s="304"/>
      <c r="W191" s="305">
        <f t="shared" si="40"/>
        <v>0</v>
      </c>
      <c r="X191" s="306">
        <f t="shared" si="41"/>
        <v>1</v>
      </c>
      <c r="Y191" s="306">
        <f t="shared" si="42"/>
        <v>0</v>
      </c>
      <c r="Z191" s="307">
        <f t="shared" si="43"/>
        <v>0</v>
      </c>
      <c r="AA191" s="291"/>
      <c r="AB191" s="201">
        <v>13</v>
      </c>
      <c r="AC191" s="63" t="str">
        <f t="shared" si="44"/>
        <v>કંડોળીયા અલ્પેશકુમાર ભરતભાઇ</v>
      </c>
      <c r="AD191" s="302" t="s">
        <v>92</v>
      </c>
      <c r="AE191" s="303"/>
      <c r="AF191" s="303"/>
      <c r="AG191" s="303"/>
      <c r="AH191" s="303"/>
      <c r="AI191" s="303"/>
      <c r="AJ191" s="303"/>
      <c r="AK191" s="303"/>
      <c r="AL191" s="303"/>
      <c r="AM191" s="303"/>
      <c r="AN191" s="303"/>
      <c r="AO191" s="303"/>
      <c r="AP191" s="303"/>
      <c r="AQ191" s="303"/>
      <c r="AR191" s="303"/>
      <c r="AS191" s="303"/>
      <c r="AT191" s="303"/>
      <c r="AU191" s="303"/>
      <c r="AV191" s="303"/>
      <c r="AW191" s="304"/>
      <c r="AX191" s="305">
        <f t="shared" si="45"/>
        <v>0</v>
      </c>
      <c r="AY191" s="306">
        <f t="shared" si="46"/>
        <v>1</v>
      </c>
      <c r="AZ191" s="306">
        <f t="shared" si="47"/>
        <v>0</v>
      </c>
      <c r="BA191" s="307">
        <f t="shared" si="48"/>
        <v>0</v>
      </c>
      <c r="BB191" s="291"/>
    </row>
    <row r="192" spans="1:54" ht="20.25" customHeight="1">
      <c r="A192" s="201">
        <v>14</v>
      </c>
      <c r="B192" s="63" t="str">
        <f t="shared" si="39"/>
        <v>મકવાણા તરંગકુમાર કિશોરભાઇ</v>
      </c>
      <c r="C192" s="302" t="s">
        <v>91</v>
      </c>
      <c r="D192" s="303"/>
      <c r="E192" s="303"/>
      <c r="F192" s="303"/>
      <c r="G192" s="303"/>
      <c r="H192" s="303"/>
      <c r="I192" s="303"/>
      <c r="J192" s="303"/>
      <c r="K192" s="303"/>
      <c r="L192" s="303"/>
      <c r="M192" s="303"/>
      <c r="N192" s="303"/>
      <c r="O192" s="303"/>
      <c r="P192" s="303"/>
      <c r="Q192" s="303"/>
      <c r="R192" s="303"/>
      <c r="S192" s="303"/>
      <c r="T192" s="303"/>
      <c r="U192" s="303"/>
      <c r="V192" s="304"/>
      <c r="W192" s="305">
        <f t="shared" si="40"/>
        <v>1</v>
      </c>
      <c r="X192" s="306">
        <f t="shared" si="41"/>
        <v>0</v>
      </c>
      <c r="Y192" s="306">
        <f t="shared" si="42"/>
        <v>0</v>
      </c>
      <c r="Z192" s="307">
        <f t="shared" si="43"/>
        <v>40</v>
      </c>
      <c r="AA192" s="291"/>
      <c r="AB192" s="201">
        <v>14</v>
      </c>
      <c r="AC192" s="63" t="str">
        <f t="shared" si="44"/>
        <v>મકવાણા તરંગકુમાર કિશોરભાઇ</v>
      </c>
      <c r="AD192" s="302" t="s">
        <v>91</v>
      </c>
      <c r="AE192" s="303"/>
      <c r="AF192" s="303"/>
      <c r="AG192" s="303"/>
      <c r="AH192" s="303"/>
      <c r="AI192" s="303"/>
      <c r="AJ192" s="303"/>
      <c r="AK192" s="303"/>
      <c r="AL192" s="303"/>
      <c r="AM192" s="303"/>
      <c r="AN192" s="303"/>
      <c r="AO192" s="303"/>
      <c r="AP192" s="303"/>
      <c r="AQ192" s="303"/>
      <c r="AR192" s="303"/>
      <c r="AS192" s="303"/>
      <c r="AT192" s="303"/>
      <c r="AU192" s="303"/>
      <c r="AV192" s="303"/>
      <c r="AW192" s="304"/>
      <c r="AX192" s="305">
        <f t="shared" si="45"/>
        <v>1</v>
      </c>
      <c r="AY192" s="306">
        <f t="shared" si="46"/>
        <v>0</v>
      </c>
      <c r="AZ192" s="306">
        <f t="shared" si="47"/>
        <v>0</v>
      </c>
      <c r="BA192" s="307">
        <f t="shared" si="48"/>
        <v>40</v>
      </c>
      <c r="BB192" s="291"/>
    </row>
    <row r="193" spans="1:54" ht="20.25" customHeight="1">
      <c r="A193" s="201">
        <v>15</v>
      </c>
      <c r="B193" s="63" t="str">
        <f t="shared" si="39"/>
        <v>ઢીમેચા સતીષ હનુભાઇ</v>
      </c>
      <c r="C193" s="302" t="s">
        <v>91</v>
      </c>
      <c r="D193" s="303"/>
      <c r="E193" s="303"/>
      <c r="F193" s="303"/>
      <c r="G193" s="303"/>
      <c r="H193" s="303"/>
      <c r="I193" s="303"/>
      <c r="J193" s="303"/>
      <c r="K193" s="303"/>
      <c r="L193" s="303"/>
      <c r="M193" s="303"/>
      <c r="N193" s="303"/>
      <c r="O193" s="303"/>
      <c r="P193" s="303"/>
      <c r="Q193" s="303"/>
      <c r="R193" s="303"/>
      <c r="S193" s="303"/>
      <c r="T193" s="303"/>
      <c r="U193" s="303"/>
      <c r="V193" s="304"/>
      <c r="W193" s="305">
        <f t="shared" si="40"/>
        <v>1</v>
      </c>
      <c r="X193" s="306">
        <f t="shared" si="41"/>
        <v>0</v>
      </c>
      <c r="Y193" s="306">
        <f t="shared" si="42"/>
        <v>0</v>
      </c>
      <c r="Z193" s="307">
        <f t="shared" si="43"/>
        <v>40</v>
      </c>
      <c r="AA193" s="291"/>
      <c r="AB193" s="201">
        <v>15</v>
      </c>
      <c r="AC193" s="63" t="str">
        <f t="shared" si="44"/>
        <v>ઢીમેચા સતીષ હનુભાઇ</v>
      </c>
      <c r="AD193" s="302" t="s">
        <v>91</v>
      </c>
      <c r="AE193" s="303"/>
      <c r="AF193" s="303"/>
      <c r="AG193" s="303"/>
      <c r="AH193" s="303"/>
      <c r="AI193" s="303"/>
      <c r="AJ193" s="303"/>
      <c r="AK193" s="303"/>
      <c r="AL193" s="303"/>
      <c r="AM193" s="303"/>
      <c r="AN193" s="303"/>
      <c r="AO193" s="303"/>
      <c r="AP193" s="303"/>
      <c r="AQ193" s="303"/>
      <c r="AR193" s="303"/>
      <c r="AS193" s="303"/>
      <c r="AT193" s="303"/>
      <c r="AU193" s="303"/>
      <c r="AV193" s="303"/>
      <c r="AW193" s="304"/>
      <c r="AX193" s="305">
        <f t="shared" si="45"/>
        <v>1</v>
      </c>
      <c r="AY193" s="306">
        <f t="shared" si="46"/>
        <v>0</v>
      </c>
      <c r="AZ193" s="306">
        <f t="shared" si="47"/>
        <v>0</v>
      </c>
      <c r="BA193" s="307">
        <f t="shared" si="48"/>
        <v>40</v>
      </c>
      <c r="BB193" s="291"/>
    </row>
    <row r="194" spans="1:54" ht="20.25" customHeight="1">
      <c r="A194" s="201">
        <v>16</v>
      </c>
      <c r="B194" s="63" t="str">
        <f t="shared" si="39"/>
        <v>ખુમાણ શિવરાજભાઇ બાબુભાઇ</v>
      </c>
      <c r="C194" s="302" t="s">
        <v>91</v>
      </c>
      <c r="D194" s="303"/>
      <c r="E194" s="303"/>
      <c r="F194" s="303"/>
      <c r="G194" s="303"/>
      <c r="H194" s="303"/>
      <c r="I194" s="303"/>
      <c r="J194" s="303"/>
      <c r="K194" s="303"/>
      <c r="L194" s="303"/>
      <c r="M194" s="303"/>
      <c r="N194" s="303"/>
      <c r="O194" s="303"/>
      <c r="P194" s="303"/>
      <c r="Q194" s="303"/>
      <c r="R194" s="303"/>
      <c r="S194" s="303"/>
      <c r="T194" s="303"/>
      <c r="U194" s="303"/>
      <c r="V194" s="304"/>
      <c r="W194" s="305">
        <f t="shared" si="40"/>
        <v>1</v>
      </c>
      <c r="X194" s="306">
        <f t="shared" si="41"/>
        <v>0</v>
      </c>
      <c r="Y194" s="306">
        <f t="shared" si="42"/>
        <v>0</v>
      </c>
      <c r="Z194" s="307">
        <f t="shared" si="43"/>
        <v>40</v>
      </c>
      <c r="AA194" s="291"/>
      <c r="AB194" s="201">
        <v>16</v>
      </c>
      <c r="AC194" s="63" t="str">
        <f t="shared" si="44"/>
        <v>ખુમાણ શિવરાજભાઇ બાબુભાઇ</v>
      </c>
      <c r="AD194" s="302" t="s">
        <v>91</v>
      </c>
      <c r="AE194" s="303"/>
      <c r="AF194" s="303"/>
      <c r="AG194" s="303"/>
      <c r="AH194" s="303"/>
      <c r="AI194" s="303"/>
      <c r="AJ194" s="303"/>
      <c r="AK194" s="303"/>
      <c r="AL194" s="303"/>
      <c r="AM194" s="303"/>
      <c r="AN194" s="303"/>
      <c r="AO194" s="303"/>
      <c r="AP194" s="303"/>
      <c r="AQ194" s="303"/>
      <c r="AR194" s="303"/>
      <c r="AS194" s="303"/>
      <c r="AT194" s="303"/>
      <c r="AU194" s="303"/>
      <c r="AV194" s="303"/>
      <c r="AW194" s="304"/>
      <c r="AX194" s="305">
        <f t="shared" si="45"/>
        <v>1</v>
      </c>
      <c r="AY194" s="306">
        <f t="shared" si="46"/>
        <v>0</v>
      </c>
      <c r="AZ194" s="306">
        <f t="shared" si="47"/>
        <v>0</v>
      </c>
      <c r="BA194" s="307">
        <f t="shared" si="48"/>
        <v>40</v>
      </c>
      <c r="BB194" s="291"/>
    </row>
    <row r="195" spans="1:54" ht="20.25" customHeight="1">
      <c r="A195" s="201">
        <v>17</v>
      </c>
      <c r="B195" s="63" t="str">
        <f t="shared" si="39"/>
        <v>માથાસુરીયા દિનેશભાઇ અમરાભાઇ</v>
      </c>
      <c r="C195" s="302" t="s">
        <v>91</v>
      </c>
      <c r="D195" s="303"/>
      <c r="E195" s="303"/>
      <c r="F195" s="303"/>
      <c r="G195" s="303"/>
      <c r="H195" s="303"/>
      <c r="I195" s="303"/>
      <c r="J195" s="303"/>
      <c r="K195" s="303"/>
      <c r="L195" s="303"/>
      <c r="M195" s="303"/>
      <c r="N195" s="303"/>
      <c r="O195" s="303"/>
      <c r="P195" s="303"/>
      <c r="Q195" s="303"/>
      <c r="R195" s="303"/>
      <c r="S195" s="303"/>
      <c r="T195" s="303"/>
      <c r="U195" s="303"/>
      <c r="V195" s="304"/>
      <c r="W195" s="305">
        <f t="shared" si="40"/>
        <v>1</v>
      </c>
      <c r="X195" s="306">
        <f t="shared" si="41"/>
        <v>0</v>
      </c>
      <c r="Y195" s="306">
        <f t="shared" si="42"/>
        <v>0</v>
      </c>
      <c r="Z195" s="307">
        <f t="shared" si="43"/>
        <v>40</v>
      </c>
      <c r="AA195" s="291"/>
      <c r="AB195" s="201">
        <v>17</v>
      </c>
      <c r="AC195" s="63" t="str">
        <f t="shared" si="44"/>
        <v>માથાસુરીયા દિનેશભાઇ અમરાભાઇ</v>
      </c>
      <c r="AD195" s="302" t="s">
        <v>91</v>
      </c>
      <c r="AE195" s="303"/>
      <c r="AF195" s="303"/>
      <c r="AG195" s="303"/>
      <c r="AH195" s="303"/>
      <c r="AI195" s="303"/>
      <c r="AJ195" s="303"/>
      <c r="AK195" s="303"/>
      <c r="AL195" s="303"/>
      <c r="AM195" s="303"/>
      <c r="AN195" s="303"/>
      <c r="AO195" s="303"/>
      <c r="AP195" s="303"/>
      <c r="AQ195" s="303"/>
      <c r="AR195" s="303"/>
      <c r="AS195" s="303"/>
      <c r="AT195" s="303"/>
      <c r="AU195" s="303"/>
      <c r="AV195" s="303"/>
      <c r="AW195" s="304"/>
      <c r="AX195" s="305">
        <f t="shared" si="45"/>
        <v>1</v>
      </c>
      <c r="AY195" s="306">
        <f t="shared" si="46"/>
        <v>0</v>
      </c>
      <c r="AZ195" s="306">
        <f t="shared" si="47"/>
        <v>0</v>
      </c>
      <c r="BA195" s="307">
        <f t="shared" si="48"/>
        <v>40</v>
      </c>
      <c r="BB195" s="291"/>
    </row>
    <row r="196" spans="1:54" ht="20.25" customHeight="1">
      <c r="A196" s="201">
        <v>18</v>
      </c>
      <c r="B196" s="63" t="str">
        <f t="shared" si="39"/>
        <v>વાઘેલા હરેશ જીલુભાઇ</v>
      </c>
      <c r="C196" s="302" t="s">
        <v>91</v>
      </c>
      <c r="D196" s="303"/>
      <c r="E196" s="303"/>
      <c r="F196" s="303"/>
      <c r="G196" s="303"/>
      <c r="H196" s="303"/>
      <c r="I196" s="303"/>
      <c r="J196" s="303"/>
      <c r="K196" s="303"/>
      <c r="L196" s="303"/>
      <c r="M196" s="303"/>
      <c r="N196" s="303"/>
      <c r="O196" s="303"/>
      <c r="P196" s="303"/>
      <c r="Q196" s="303"/>
      <c r="R196" s="303"/>
      <c r="S196" s="303"/>
      <c r="T196" s="303"/>
      <c r="U196" s="303"/>
      <c r="V196" s="304"/>
      <c r="W196" s="305">
        <f t="shared" si="40"/>
        <v>1</v>
      </c>
      <c r="X196" s="306">
        <f t="shared" si="41"/>
        <v>0</v>
      </c>
      <c r="Y196" s="306">
        <f t="shared" si="42"/>
        <v>0</v>
      </c>
      <c r="Z196" s="307">
        <f t="shared" si="43"/>
        <v>40</v>
      </c>
      <c r="AA196" s="291"/>
      <c r="AB196" s="201">
        <v>18</v>
      </c>
      <c r="AC196" s="63" t="str">
        <f t="shared" si="44"/>
        <v>વાઘેલા હરેશ જીલુભાઇ</v>
      </c>
      <c r="AD196" s="302" t="s">
        <v>91</v>
      </c>
      <c r="AE196" s="303"/>
      <c r="AF196" s="303"/>
      <c r="AG196" s="303"/>
      <c r="AH196" s="303"/>
      <c r="AI196" s="303"/>
      <c r="AJ196" s="303"/>
      <c r="AK196" s="303"/>
      <c r="AL196" s="303"/>
      <c r="AM196" s="303"/>
      <c r="AN196" s="303"/>
      <c r="AO196" s="303"/>
      <c r="AP196" s="303"/>
      <c r="AQ196" s="303"/>
      <c r="AR196" s="303"/>
      <c r="AS196" s="303"/>
      <c r="AT196" s="303"/>
      <c r="AU196" s="303"/>
      <c r="AV196" s="303"/>
      <c r="AW196" s="304"/>
      <c r="AX196" s="305">
        <f t="shared" si="45"/>
        <v>1</v>
      </c>
      <c r="AY196" s="306">
        <f t="shared" si="46"/>
        <v>0</v>
      </c>
      <c r="AZ196" s="306">
        <f t="shared" si="47"/>
        <v>0</v>
      </c>
      <c r="BA196" s="307">
        <f t="shared" si="48"/>
        <v>40</v>
      </c>
      <c r="BB196" s="291"/>
    </row>
    <row r="197" spans="1:54" ht="20.25" customHeight="1">
      <c r="A197" s="201">
        <v>19</v>
      </c>
      <c r="B197" s="63" t="str">
        <f t="shared" si="39"/>
        <v>પરમાર દિલીપકુમાર મધુભાઇ</v>
      </c>
      <c r="C197" s="302" t="s">
        <v>91</v>
      </c>
      <c r="D197" s="303"/>
      <c r="E197" s="303"/>
      <c r="F197" s="303"/>
      <c r="G197" s="303"/>
      <c r="H197" s="303"/>
      <c r="I197" s="303"/>
      <c r="J197" s="303"/>
      <c r="K197" s="303"/>
      <c r="L197" s="303"/>
      <c r="M197" s="303"/>
      <c r="N197" s="303"/>
      <c r="O197" s="303"/>
      <c r="P197" s="303"/>
      <c r="Q197" s="303"/>
      <c r="R197" s="303"/>
      <c r="S197" s="303"/>
      <c r="T197" s="303"/>
      <c r="U197" s="303"/>
      <c r="V197" s="304"/>
      <c r="W197" s="305">
        <f t="shared" si="40"/>
        <v>1</v>
      </c>
      <c r="X197" s="306">
        <f t="shared" si="41"/>
        <v>0</v>
      </c>
      <c r="Y197" s="306">
        <f t="shared" si="42"/>
        <v>0</v>
      </c>
      <c r="Z197" s="307">
        <f t="shared" si="43"/>
        <v>40</v>
      </c>
      <c r="AA197" s="291"/>
      <c r="AB197" s="201">
        <v>19</v>
      </c>
      <c r="AC197" s="63" t="str">
        <f t="shared" si="44"/>
        <v>પરમાર દિલીપકુમાર મધુભાઇ</v>
      </c>
      <c r="AD197" s="302" t="s">
        <v>91</v>
      </c>
      <c r="AE197" s="303"/>
      <c r="AF197" s="303"/>
      <c r="AG197" s="303"/>
      <c r="AH197" s="303"/>
      <c r="AI197" s="303"/>
      <c r="AJ197" s="303"/>
      <c r="AK197" s="303"/>
      <c r="AL197" s="303"/>
      <c r="AM197" s="303"/>
      <c r="AN197" s="303"/>
      <c r="AO197" s="303"/>
      <c r="AP197" s="303"/>
      <c r="AQ197" s="303"/>
      <c r="AR197" s="303"/>
      <c r="AS197" s="303"/>
      <c r="AT197" s="303"/>
      <c r="AU197" s="303"/>
      <c r="AV197" s="303"/>
      <c r="AW197" s="304"/>
      <c r="AX197" s="305">
        <f t="shared" si="45"/>
        <v>1</v>
      </c>
      <c r="AY197" s="306">
        <f t="shared" si="46"/>
        <v>0</v>
      </c>
      <c r="AZ197" s="306">
        <f t="shared" si="47"/>
        <v>0</v>
      </c>
      <c r="BA197" s="307">
        <f t="shared" si="48"/>
        <v>40</v>
      </c>
      <c r="BB197" s="291"/>
    </row>
    <row r="198" spans="1:54" ht="20.25" customHeight="1">
      <c r="A198" s="201">
        <v>20</v>
      </c>
      <c r="B198" s="63" t="str">
        <f t="shared" si="39"/>
        <v>વિરપરા કૃણાલ હરેશભાઇ</v>
      </c>
      <c r="C198" s="302" t="s">
        <v>91</v>
      </c>
      <c r="D198" s="303"/>
      <c r="E198" s="303"/>
      <c r="F198" s="303"/>
      <c r="G198" s="303"/>
      <c r="H198" s="303"/>
      <c r="I198" s="303"/>
      <c r="J198" s="303"/>
      <c r="K198" s="303"/>
      <c r="L198" s="303"/>
      <c r="M198" s="303"/>
      <c r="N198" s="303"/>
      <c r="O198" s="303"/>
      <c r="P198" s="303"/>
      <c r="Q198" s="303"/>
      <c r="R198" s="303"/>
      <c r="S198" s="303"/>
      <c r="T198" s="303"/>
      <c r="U198" s="303"/>
      <c r="V198" s="304"/>
      <c r="W198" s="305">
        <f t="shared" si="40"/>
        <v>1</v>
      </c>
      <c r="X198" s="306">
        <f t="shared" si="41"/>
        <v>0</v>
      </c>
      <c r="Y198" s="306">
        <f t="shared" si="42"/>
        <v>0</v>
      </c>
      <c r="Z198" s="307">
        <f t="shared" si="43"/>
        <v>40</v>
      </c>
      <c r="AA198" s="291"/>
      <c r="AB198" s="201">
        <v>20</v>
      </c>
      <c r="AC198" s="63" t="str">
        <f t="shared" si="44"/>
        <v>વિરપરા કૃણાલ હરેશભાઇ</v>
      </c>
      <c r="AD198" s="302" t="s">
        <v>91</v>
      </c>
      <c r="AE198" s="303"/>
      <c r="AF198" s="303"/>
      <c r="AG198" s="303"/>
      <c r="AH198" s="303"/>
      <c r="AI198" s="303"/>
      <c r="AJ198" s="303"/>
      <c r="AK198" s="303"/>
      <c r="AL198" s="303"/>
      <c r="AM198" s="303"/>
      <c r="AN198" s="303"/>
      <c r="AO198" s="303"/>
      <c r="AP198" s="303"/>
      <c r="AQ198" s="303"/>
      <c r="AR198" s="303"/>
      <c r="AS198" s="303"/>
      <c r="AT198" s="303"/>
      <c r="AU198" s="303"/>
      <c r="AV198" s="303"/>
      <c r="AW198" s="304"/>
      <c r="AX198" s="305">
        <f t="shared" si="45"/>
        <v>1</v>
      </c>
      <c r="AY198" s="306">
        <f t="shared" si="46"/>
        <v>0</v>
      </c>
      <c r="AZ198" s="306">
        <f t="shared" si="47"/>
        <v>0</v>
      </c>
      <c r="BA198" s="307">
        <f t="shared" si="48"/>
        <v>40</v>
      </c>
      <c r="BB198" s="291"/>
    </row>
    <row r="199" spans="1:54" ht="20.25" customHeight="1">
      <c r="A199" s="201">
        <v>21</v>
      </c>
      <c r="B199" s="63" t="str">
        <f t="shared" si="39"/>
        <v>મકરૂબિયા જીજ્ઞેશભાઇ અશોકભાઇ</v>
      </c>
      <c r="C199" s="302" t="s">
        <v>91</v>
      </c>
      <c r="D199" s="303"/>
      <c r="E199" s="303"/>
      <c r="F199" s="303"/>
      <c r="G199" s="303"/>
      <c r="H199" s="303"/>
      <c r="I199" s="303"/>
      <c r="J199" s="303"/>
      <c r="K199" s="303"/>
      <c r="L199" s="303"/>
      <c r="M199" s="303"/>
      <c r="N199" s="303"/>
      <c r="O199" s="303"/>
      <c r="P199" s="303"/>
      <c r="Q199" s="303"/>
      <c r="R199" s="303"/>
      <c r="S199" s="303"/>
      <c r="T199" s="303"/>
      <c r="U199" s="303"/>
      <c r="V199" s="304"/>
      <c r="W199" s="305">
        <f t="shared" si="40"/>
        <v>1</v>
      </c>
      <c r="X199" s="306">
        <f t="shared" si="41"/>
        <v>0</v>
      </c>
      <c r="Y199" s="306">
        <f t="shared" si="42"/>
        <v>0</v>
      </c>
      <c r="Z199" s="307">
        <f t="shared" si="43"/>
        <v>40</v>
      </c>
      <c r="AA199" s="291"/>
      <c r="AB199" s="201">
        <v>21</v>
      </c>
      <c r="AC199" s="63" t="str">
        <f t="shared" si="44"/>
        <v>મકરૂબિયા જીજ્ઞેશભાઇ અશોકભાઇ</v>
      </c>
      <c r="AD199" s="302" t="s">
        <v>91</v>
      </c>
      <c r="AE199" s="303"/>
      <c r="AF199" s="303"/>
      <c r="AG199" s="303"/>
      <c r="AH199" s="303"/>
      <c r="AI199" s="303"/>
      <c r="AJ199" s="303"/>
      <c r="AK199" s="303"/>
      <c r="AL199" s="303"/>
      <c r="AM199" s="303"/>
      <c r="AN199" s="303"/>
      <c r="AO199" s="303"/>
      <c r="AP199" s="303"/>
      <c r="AQ199" s="303"/>
      <c r="AR199" s="303"/>
      <c r="AS199" s="303"/>
      <c r="AT199" s="303"/>
      <c r="AU199" s="303"/>
      <c r="AV199" s="303"/>
      <c r="AW199" s="304"/>
      <c r="AX199" s="305">
        <f t="shared" si="45"/>
        <v>1</v>
      </c>
      <c r="AY199" s="306">
        <f t="shared" si="46"/>
        <v>0</v>
      </c>
      <c r="AZ199" s="306">
        <f t="shared" si="47"/>
        <v>0</v>
      </c>
      <c r="BA199" s="307">
        <f t="shared" si="48"/>
        <v>40</v>
      </c>
      <c r="BB199" s="291"/>
    </row>
    <row r="200" spans="1:54" ht="20.25" customHeight="1">
      <c r="A200" s="201">
        <v>22</v>
      </c>
      <c r="B200" s="63" t="str">
        <f t="shared" si="39"/>
        <v>ખિમસુરીયા જ્યોત્સના મુકેશભાઇ</v>
      </c>
      <c r="C200" s="302" t="s">
        <v>91</v>
      </c>
      <c r="D200" s="303"/>
      <c r="E200" s="303"/>
      <c r="F200" s="303"/>
      <c r="G200" s="303"/>
      <c r="H200" s="303"/>
      <c r="I200" s="303"/>
      <c r="J200" s="303"/>
      <c r="K200" s="303"/>
      <c r="L200" s="303"/>
      <c r="M200" s="303"/>
      <c r="N200" s="303"/>
      <c r="O200" s="303"/>
      <c r="P200" s="303"/>
      <c r="Q200" s="303"/>
      <c r="R200" s="303"/>
      <c r="S200" s="303"/>
      <c r="T200" s="303"/>
      <c r="U200" s="303"/>
      <c r="V200" s="304"/>
      <c r="W200" s="305">
        <f t="shared" si="40"/>
        <v>1</v>
      </c>
      <c r="X200" s="306">
        <f t="shared" si="41"/>
        <v>0</v>
      </c>
      <c r="Y200" s="306">
        <f t="shared" si="42"/>
        <v>0</v>
      </c>
      <c r="Z200" s="307">
        <f t="shared" si="43"/>
        <v>40</v>
      </c>
      <c r="AA200" s="291"/>
      <c r="AB200" s="201">
        <v>22</v>
      </c>
      <c r="AC200" s="63" t="str">
        <f t="shared" si="44"/>
        <v>ખિમસુરીયા જ્યોત્સના મુકેશભાઇ</v>
      </c>
      <c r="AD200" s="302" t="s">
        <v>91</v>
      </c>
      <c r="AE200" s="303"/>
      <c r="AF200" s="303"/>
      <c r="AG200" s="303"/>
      <c r="AH200" s="303"/>
      <c r="AI200" s="303"/>
      <c r="AJ200" s="303"/>
      <c r="AK200" s="303"/>
      <c r="AL200" s="303"/>
      <c r="AM200" s="303"/>
      <c r="AN200" s="303"/>
      <c r="AO200" s="303"/>
      <c r="AP200" s="303"/>
      <c r="AQ200" s="303"/>
      <c r="AR200" s="303"/>
      <c r="AS200" s="303"/>
      <c r="AT200" s="303"/>
      <c r="AU200" s="303"/>
      <c r="AV200" s="303"/>
      <c r="AW200" s="304"/>
      <c r="AX200" s="305">
        <f t="shared" si="45"/>
        <v>1</v>
      </c>
      <c r="AY200" s="306">
        <f t="shared" si="46"/>
        <v>0</v>
      </c>
      <c r="AZ200" s="306">
        <f t="shared" si="47"/>
        <v>0</v>
      </c>
      <c r="BA200" s="307">
        <f t="shared" si="48"/>
        <v>40</v>
      </c>
      <c r="BB200" s="291"/>
    </row>
    <row r="201" spans="1:54" ht="20.25" customHeight="1">
      <c r="A201" s="201">
        <v>23</v>
      </c>
      <c r="B201" s="63" t="str">
        <f t="shared" si="39"/>
        <v>ગરણિયા રાજલબેન સામતભાઇ</v>
      </c>
      <c r="C201" s="302" t="s">
        <v>91</v>
      </c>
      <c r="D201" s="303"/>
      <c r="E201" s="303"/>
      <c r="F201" s="303"/>
      <c r="G201" s="303"/>
      <c r="H201" s="303"/>
      <c r="I201" s="303"/>
      <c r="J201" s="303"/>
      <c r="K201" s="303"/>
      <c r="L201" s="303"/>
      <c r="M201" s="303"/>
      <c r="N201" s="303"/>
      <c r="O201" s="303"/>
      <c r="P201" s="303"/>
      <c r="Q201" s="303"/>
      <c r="R201" s="303"/>
      <c r="S201" s="303"/>
      <c r="T201" s="303"/>
      <c r="U201" s="303"/>
      <c r="V201" s="304"/>
      <c r="W201" s="305">
        <f t="shared" si="40"/>
        <v>1</v>
      </c>
      <c r="X201" s="306">
        <f t="shared" si="41"/>
        <v>0</v>
      </c>
      <c r="Y201" s="306">
        <f t="shared" si="42"/>
        <v>0</v>
      </c>
      <c r="Z201" s="307">
        <f t="shared" si="43"/>
        <v>40</v>
      </c>
      <c r="AA201" s="291"/>
      <c r="AB201" s="201">
        <v>23</v>
      </c>
      <c r="AC201" s="63" t="str">
        <f t="shared" si="44"/>
        <v>ગરણિયા રાજલબેન સામતભાઇ</v>
      </c>
      <c r="AD201" s="302" t="s">
        <v>91</v>
      </c>
      <c r="AE201" s="303"/>
      <c r="AF201" s="303"/>
      <c r="AG201" s="303"/>
      <c r="AH201" s="303"/>
      <c r="AI201" s="303"/>
      <c r="AJ201" s="303"/>
      <c r="AK201" s="303"/>
      <c r="AL201" s="303"/>
      <c r="AM201" s="303"/>
      <c r="AN201" s="303"/>
      <c r="AO201" s="303"/>
      <c r="AP201" s="303"/>
      <c r="AQ201" s="303"/>
      <c r="AR201" s="303"/>
      <c r="AS201" s="303"/>
      <c r="AT201" s="303"/>
      <c r="AU201" s="303"/>
      <c r="AV201" s="303"/>
      <c r="AW201" s="304"/>
      <c r="AX201" s="305">
        <f t="shared" si="45"/>
        <v>1</v>
      </c>
      <c r="AY201" s="306">
        <f t="shared" si="46"/>
        <v>0</v>
      </c>
      <c r="AZ201" s="306">
        <f t="shared" si="47"/>
        <v>0</v>
      </c>
      <c r="BA201" s="307">
        <f t="shared" si="48"/>
        <v>40</v>
      </c>
      <c r="BB201" s="291"/>
    </row>
    <row r="202" spans="1:54" ht="20.25" customHeight="1">
      <c r="A202" s="201">
        <v>24</v>
      </c>
      <c r="B202" s="63" t="str">
        <f t="shared" si="39"/>
        <v>ગરણિયા નિરાલીબેન પ્રદીપભાઇ</v>
      </c>
      <c r="C202" s="302" t="s">
        <v>91</v>
      </c>
      <c r="D202" s="303"/>
      <c r="E202" s="303"/>
      <c r="F202" s="303"/>
      <c r="G202" s="303"/>
      <c r="H202" s="303"/>
      <c r="I202" s="303"/>
      <c r="J202" s="303"/>
      <c r="K202" s="303"/>
      <c r="L202" s="303"/>
      <c r="M202" s="303"/>
      <c r="N202" s="303"/>
      <c r="O202" s="303"/>
      <c r="P202" s="303"/>
      <c r="Q202" s="303"/>
      <c r="R202" s="303"/>
      <c r="S202" s="303"/>
      <c r="T202" s="303"/>
      <c r="U202" s="303"/>
      <c r="V202" s="304"/>
      <c r="W202" s="305">
        <f t="shared" si="40"/>
        <v>1</v>
      </c>
      <c r="X202" s="306">
        <f t="shared" si="41"/>
        <v>0</v>
      </c>
      <c r="Y202" s="306">
        <f t="shared" si="42"/>
        <v>0</v>
      </c>
      <c r="Z202" s="307">
        <f t="shared" si="43"/>
        <v>40</v>
      </c>
      <c r="AA202" s="291"/>
      <c r="AB202" s="201">
        <v>24</v>
      </c>
      <c r="AC202" s="63" t="str">
        <f t="shared" si="44"/>
        <v>ગરણિયા નિરાલીબેન પ્રદીપભાઇ</v>
      </c>
      <c r="AD202" s="302" t="s">
        <v>91</v>
      </c>
      <c r="AE202" s="303"/>
      <c r="AF202" s="303"/>
      <c r="AG202" s="303"/>
      <c r="AH202" s="303"/>
      <c r="AI202" s="303"/>
      <c r="AJ202" s="303"/>
      <c r="AK202" s="303"/>
      <c r="AL202" s="303"/>
      <c r="AM202" s="303"/>
      <c r="AN202" s="303"/>
      <c r="AO202" s="303"/>
      <c r="AP202" s="303"/>
      <c r="AQ202" s="303"/>
      <c r="AR202" s="303"/>
      <c r="AS202" s="303"/>
      <c r="AT202" s="303"/>
      <c r="AU202" s="303"/>
      <c r="AV202" s="303"/>
      <c r="AW202" s="304"/>
      <c r="AX202" s="305">
        <f t="shared" si="45"/>
        <v>1</v>
      </c>
      <c r="AY202" s="306">
        <f t="shared" si="46"/>
        <v>0</v>
      </c>
      <c r="AZ202" s="306">
        <f t="shared" si="47"/>
        <v>0</v>
      </c>
      <c r="BA202" s="307">
        <f t="shared" si="48"/>
        <v>40</v>
      </c>
      <c r="BB202" s="291"/>
    </row>
    <row r="203" spans="1:54" ht="20.25" customHeight="1">
      <c r="A203" s="201">
        <v>25</v>
      </c>
      <c r="B203" s="63" t="str">
        <f t="shared" si="39"/>
        <v>ગરણિયા રાધાબેન લક્ષ્મણભાઇ</v>
      </c>
      <c r="C203" s="302" t="s">
        <v>91</v>
      </c>
      <c r="D203" s="303"/>
      <c r="E203" s="303"/>
      <c r="F203" s="303"/>
      <c r="G203" s="303"/>
      <c r="H203" s="303"/>
      <c r="I203" s="303"/>
      <c r="J203" s="303"/>
      <c r="K203" s="303"/>
      <c r="L203" s="303"/>
      <c r="M203" s="303"/>
      <c r="N203" s="303"/>
      <c r="O203" s="303"/>
      <c r="P203" s="303"/>
      <c r="Q203" s="303"/>
      <c r="R203" s="303"/>
      <c r="S203" s="303"/>
      <c r="T203" s="303"/>
      <c r="U203" s="303"/>
      <c r="V203" s="304"/>
      <c r="W203" s="305">
        <f t="shared" si="40"/>
        <v>1</v>
      </c>
      <c r="X203" s="306">
        <f t="shared" si="41"/>
        <v>0</v>
      </c>
      <c r="Y203" s="306">
        <f t="shared" si="42"/>
        <v>0</v>
      </c>
      <c r="Z203" s="307">
        <f t="shared" si="43"/>
        <v>40</v>
      </c>
      <c r="AA203" s="291"/>
      <c r="AB203" s="201">
        <v>25</v>
      </c>
      <c r="AC203" s="63" t="str">
        <f t="shared" si="44"/>
        <v>ગરણિયા રાધાબેન લક્ષ્મણભાઇ</v>
      </c>
      <c r="AD203" s="302" t="s">
        <v>91</v>
      </c>
      <c r="AE203" s="303"/>
      <c r="AF203" s="303"/>
      <c r="AG203" s="303"/>
      <c r="AH203" s="303"/>
      <c r="AI203" s="303"/>
      <c r="AJ203" s="303"/>
      <c r="AK203" s="303"/>
      <c r="AL203" s="303"/>
      <c r="AM203" s="303"/>
      <c r="AN203" s="303"/>
      <c r="AO203" s="303"/>
      <c r="AP203" s="303"/>
      <c r="AQ203" s="303"/>
      <c r="AR203" s="303"/>
      <c r="AS203" s="303"/>
      <c r="AT203" s="303"/>
      <c r="AU203" s="303"/>
      <c r="AV203" s="303"/>
      <c r="AW203" s="304"/>
      <c r="AX203" s="305">
        <f t="shared" si="45"/>
        <v>1</v>
      </c>
      <c r="AY203" s="306">
        <f t="shared" si="46"/>
        <v>0</v>
      </c>
      <c r="AZ203" s="306">
        <f t="shared" si="47"/>
        <v>0</v>
      </c>
      <c r="BA203" s="307">
        <f t="shared" si="48"/>
        <v>40</v>
      </c>
      <c r="BB203" s="291"/>
    </row>
    <row r="204" spans="1:54" ht="20.25" customHeight="1">
      <c r="A204" s="201">
        <v>26</v>
      </c>
      <c r="B204" s="63" t="str">
        <f t="shared" si="39"/>
        <v>ગૌસ્વામિ મયુરીબેન રમેશગીરી</v>
      </c>
      <c r="C204" s="302" t="s">
        <v>91</v>
      </c>
      <c r="D204" s="303"/>
      <c r="E204" s="303"/>
      <c r="F204" s="303"/>
      <c r="G204" s="303"/>
      <c r="H204" s="303"/>
      <c r="I204" s="303"/>
      <c r="J204" s="303"/>
      <c r="K204" s="303"/>
      <c r="L204" s="303"/>
      <c r="M204" s="303"/>
      <c r="N204" s="303"/>
      <c r="O204" s="303"/>
      <c r="P204" s="303"/>
      <c r="Q204" s="303"/>
      <c r="R204" s="303"/>
      <c r="S204" s="303"/>
      <c r="T204" s="303"/>
      <c r="U204" s="303"/>
      <c r="V204" s="304"/>
      <c r="W204" s="305">
        <f t="shared" si="40"/>
        <v>1</v>
      </c>
      <c r="X204" s="306">
        <f t="shared" si="41"/>
        <v>0</v>
      </c>
      <c r="Y204" s="306">
        <f t="shared" si="42"/>
        <v>0</v>
      </c>
      <c r="Z204" s="307">
        <f t="shared" si="43"/>
        <v>40</v>
      </c>
      <c r="AA204" s="291"/>
      <c r="AB204" s="201">
        <v>26</v>
      </c>
      <c r="AC204" s="63" t="str">
        <f t="shared" si="44"/>
        <v>ગૌસ્વામિ મયુરીબેન રમેશગીરી</v>
      </c>
      <c r="AD204" s="302" t="s">
        <v>91</v>
      </c>
      <c r="AE204" s="303"/>
      <c r="AF204" s="303"/>
      <c r="AG204" s="303"/>
      <c r="AH204" s="303"/>
      <c r="AI204" s="303"/>
      <c r="AJ204" s="303"/>
      <c r="AK204" s="303"/>
      <c r="AL204" s="303"/>
      <c r="AM204" s="303"/>
      <c r="AN204" s="303"/>
      <c r="AO204" s="303"/>
      <c r="AP204" s="303"/>
      <c r="AQ204" s="303"/>
      <c r="AR204" s="303"/>
      <c r="AS204" s="303"/>
      <c r="AT204" s="303"/>
      <c r="AU204" s="303"/>
      <c r="AV204" s="303"/>
      <c r="AW204" s="304"/>
      <c r="AX204" s="305">
        <f t="shared" si="45"/>
        <v>1</v>
      </c>
      <c r="AY204" s="306">
        <f t="shared" si="46"/>
        <v>0</v>
      </c>
      <c r="AZ204" s="306">
        <f t="shared" si="47"/>
        <v>0</v>
      </c>
      <c r="BA204" s="307">
        <f t="shared" si="48"/>
        <v>40</v>
      </c>
      <c r="BB204" s="291"/>
    </row>
    <row r="205" spans="1:54" ht="20.25" customHeight="1">
      <c r="A205" s="201">
        <v>27</v>
      </c>
      <c r="B205" s="63" t="str">
        <f t="shared" si="39"/>
        <v>બતાડા જાનકી વાલાભાઇ</v>
      </c>
      <c r="C205" s="302" t="s">
        <v>91</v>
      </c>
      <c r="D205" s="303"/>
      <c r="E205" s="303"/>
      <c r="F205" s="303"/>
      <c r="G205" s="303"/>
      <c r="H205" s="303"/>
      <c r="I205" s="303"/>
      <c r="J205" s="303"/>
      <c r="K205" s="303"/>
      <c r="L205" s="303"/>
      <c r="M205" s="303"/>
      <c r="N205" s="303"/>
      <c r="O205" s="303"/>
      <c r="P205" s="303"/>
      <c r="Q205" s="303"/>
      <c r="R205" s="303"/>
      <c r="S205" s="303"/>
      <c r="T205" s="303"/>
      <c r="U205" s="303"/>
      <c r="V205" s="304"/>
      <c r="W205" s="305">
        <f t="shared" si="40"/>
        <v>1</v>
      </c>
      <c r="X205" s="306">
        <f t="shared" si="41"/>
        <v>0</v>
      </c>
      <c r="Y205" s="306">
        <f t="shared" si="42"/>
        <v>0</v>
      </c>
      <c r="Z205" s="307">
        <f t="shared" si="43"/>
        <v>40</v>
      </c>
      <c r="AA205" s="291"/>
      <c r="AB205" s="201">
        <v>27</v>
      </c>
      <c r="AC205" s="63" t="str">
        <f t="shared" si="44"/>
        <v>બતાડા જાનકી વાલાભાઇ</v>
      </c>
      <c r="AD205" s="302" t="s">
        <v>91</v>
      </c>
      <c r="AE205" s="303"/>
      <c r="AF205" s="303"/>
      <c r="AG205" s="303"/>
      <c r="AH205" s="303"/>
      <c r="AI205" s="303"/>
      <c r="AJ205" s="303"/>
      <c r="AK205" s="303"/>
      <c r="AL205" s="303"/>
      <c r="AM205" s="303"/>
      <c r="AN205" s="303"/>
      <c r="AO205" s="303"/>
      <c r="AP205" s="303"/>
      <c r="AQ205" s="303"/>
      <c r="AR205" s="303"/>
      <c r="AS205" s="303"/>
      <c r="AT205" s="303"/>
      <c r="AU205" s="303"/>
      <c r="AV205" s="303"/>
      <c r="AW205" s="304"/>
      <c r="AX205" s="305">
        <f t="shared" si="45"/>
        <v>1</v>
      </c>
      <c r="AY205" s="306">
        <f t="shared" si="46"/>
        <v>0</v>
      </c>
      <c r="AZ205" s="306">
        <f t="shared" si="47"/>
        <v>0</v>
      </c>
      <c r="BA205" s="307">
        <f t="shared" si="48"/>
        <v>40</v>
      </c>
      <c r="BB205" s="291"/>
    </row>
    <row r="206" spans="1:54" ht="20.25" customHeight="1">
      <c r="A206" s="201">
        <v>28</v>
      </c>
      <c r="B206" s="63" t="str">
        <f t="shared" si="39"/>
        <v>બતાડા ક્રિષ્નાબેન દેવશીભાઇ</v>
      </c>
      <c r="C206" s="302" t="s">
        <v>91</v>
      </c>
      <c r="D206" s="303"/>
      <c r="E206" s="303"/>
      <c r="F206" s="303"/>
      <c r="G206" s="303"/>
      <c r="H206" s="303"/>
      <c r="I206" s="303"/>
      <c r="J206" s="303"/>
      <c r="K206" s="303"/>
      <c r="L206" s="303"/>
      <c r="M206" s="303"/>
      <c r="N206" s="303"/>
      <c r="O206" s="303"/>
      <c r="P206" s="303"/>
      <c r="Q206" s="303"/>
      <c r="R206" s="303"/>
      <c r="S206" s="303"/>
      <c r="T206" s="303"/>
      <c r="U206" s="303"/>
      <c r="V206" s="304"/>
      <c r="W206" s="305">
        <f t="shared" si="40"/>
        <v>1</v>
      </c>
      <c r="X206" s="306">
        <f t="shared" si="41"/>
        <v>0</v>
      </c>
      <c r="Y206" s="306">
        <f t="shared" si="42"/>
        <v>0</v>
      </c>
      <c r="Z206" s="307">
        <f t="shared" si="43"/>
        <v>40</v>
      </c>
      <c r="AA206" s="291"/>
      <c r="AB206" s="201">
        <v>28</v>
      </c>
      <c r="AC206" s="63" t="str">
        <f t="shared" si="44"/>
        <v>બતાડા ક્રિષ્નાબેન દેવશીભાઇ</v>
      </c>
      <c r="AD206" s="302" t="s">
        <v>91</v>
      </c>
      <c r="AE206" s="303"/>
      <c r="AF206" s="303"/>
      <c r="AG206" s="303"/>
      <c r="AH206" s="303"/>
      <c r="AI206" s="303"/>
      <c r="AJ206" s="303"/>
      <c r="AK206" s="303"/>
      <c r="AL206" s="303"/>
      <c r="AM206" s="303"/>
      <c r="AN206" s="303"/>
      <c r="AO206" s="303"/>
      <c r="AP206" s="303"/>
      <c r="AQ206" s="303"/>
      <c r="AR206" s="303"/>
      <c r="AS206" s="303"/>
      <c r="AT206" s="303"/>
      <c r="AU206" s="303"/>
      <c r="AV206" s="303"/>
      <c r="AW206" s="304"/>
      <c r="AX206" s="305">
        <f t="shared" si="45"/>
        <v>1</v>
      </c>
      <c r="AY206" s="306">
        <f t="shared" si="46"/>
        <v>0</v>
      </c>
      <c r="AZ206" s="306">
        <f t="shared" si="47"/>
        <v>0</v>
      </c>
      <c r="BA206" s="307">
        <f t="shared" si="48"/>
        <v>40</v>
      </c>
      <c r="BB206" s="291"/>
    </row>
    <row r="207" spans="1:54" ht="20.25" customHeight="1">
      <c r="A207" s="201">
        <v>29</v>
      </c>
      <c r="B207" s="63" t="str">
        <f t="shared" si="39"/>
        <v>પરમાર અનિષા રમેશભાઇ</v>
      </c>
      <c r="C207" s="302" t="s">
        <v>91</v>
      </c>
      <c r="D207" s="303"/>
      <c r="E207" s="303"/>
      <c r="F207" s="303"/>
      <c r="G207" s="303"/>
      <c r="H207" s="303"/>
      <c r="I207" s="303"/>
      <c r="J207" s="303"/>
      <c r="K207" s="303"/>
      <c r="L207" s="303"/>
      <c r="M207" s="303"/>
      <c r="N207" s="303"/>
      <c r="O207" s="303"/>
      <c r="P207" s="303"/>
      <c r="Q207" s="303"/>
      <c r="R207" s="303"/>
      <c r="S207" s="303"/>
      <c r="T207" s="303"/>
      <c r="U207" s="303"/>
      <c r="V207" s="304"/>
      <c r="W207" s="305">
        <f t="shared" si="40"/>
        <v>1</v>
      </c>
      <c r="X207" s="306">
        <f t="shared" si="41"/>
        <v>0</v>
      </c>
      <c r="Y207" s="306">
        <f t="shared" si="42"/>
        <v>0</v>
      </c>
      <c r="Z207" s="307">
        <f t="shared" si="43"/>
        <v>40</v>
      </c>
      <c r="AA207" s="291"/>
      <c r="AB207" s="201">
        <v>29</v>
      </c>
      <c r="AC207" s="63" t="str">
        <f t="shared" si="44"/>
        <v>પરમાર અનિષા રમેશભાઇ</v>
      </c>
      <c r="AD207" s="302" t="s">
        <v>91</v>
      </c>
      <c r="AE207" s="303"/>
      <c r="AF207" s="303"/>
      <c r="AG207" s="303"/>
      <c r="AH207" s="303"/>
      <c r="AI207" s="303"/>
      <c r="AJ207" s="303"/>
      <c r="AK207" s="303"/>
      <c r="AL207" s="303"/>
      <c r="AM207" s="303"/>
      <c r="AN207" s="303"/>
      <c r="AO207" s="303"/>
      <c r="AP207" s="303"/>
      <c r="AQ207" s="303"/>
      <c r="AR207" s="303"/>
      <c r="AS207" s="303"/>
      <c r="AT207" s="303"/>
      <c r="AU207" s="303"/>
      <c r="AV207" s="303"/>
      <c r="AW207" s="304"/>
      <c r="AX207" s="305">
        <f t="shared" si="45"/>
        <v>1</v>
      </c>
      <c r="AY207" s="306">
        <f t="shared" si="46"/>
        <v>0</v>
      </c>
      <c r="AZ207" s="306">
        <f t="shared" si="47"/>
        <v>0</v>
      </c>
      <c r="BA207" s="307">
        <f t="shared" si="48"/>
        <v>40</v>
      </c>
      <c r="BB207" s="291"/>
    </row>
    <row r="208" spans="1:54" ht="20.25" customHeight="1">
      <c r="A208" s="201">
        <v>30</v>
      </c>
      <c r="B208" s="63" t="str">
        <f t="shared" si="39"/>
        <v>મકરૂબિયા નમ્રતા વશરામભાઇ</v>
      </c>
      <c r="C208" s="302" t="s">
        <v>91</v>
      </c>
      <c r="D208" s="303"/>
      <c r="E208" s="303"/>
      <c r="F208" s="303"/>
      <c r="G208" s="303"/>
      <c r="H208" s="303"/>
      <c r="I208" s="303"/>
      <c r="J208" s="303"/>
      <c r="K208" s="303"/>
      <c r="L208" s="303"/>
      <c r="M208" s="303"/>
      <c r="N208" s="303"/>
      <c r="O208" s="303"/>
      <c r="P208" s="303"/>
      <c r="Q208" s="303"/>
      <c r="R208" s="303"/>
      <c r="S208" s="303"/>
      <c r="T208" s="303"/>
      <c r="U208" s="303"/>
      <c r="V208" s="304"/>
      <c r="W208" s="305">
        <f t="shared" si="40"/>
        <v>1</v>
      </c>
      <c r="X208" s="306">
        <f t="shared" si="41"/>
        <v>0</v>
      </c>
      <c r="Y208" s="306">
        <f t="shared" si="42"/>
        <v>0</v>
      </c>
      <c r="Z208" s="307">
        <f t="shared" si="43"/>
        <v>40</v>
      </c>
      <c r="AA208" s="291"/>
      <c r="AB208" s="201">
        <v>30</v>
      </c>
      <c r="AC208" s="63" t="str">
        <f t="shared" si="44"/>
        <v>મકરૂબિયા નમ્રતા વશરામભાઇ</v>
      </c>
      <c r="AD208" s="302" t="s">
        <v>91</v>
      </c>
      <c r="AE208" s="303"/>
      <c r="AF208" s="303"/>
      <c r="AG208" s="303"/>
      <c r="AH208" s="303"/>
      <c r="AI208" s="303"/>
      <c r="AJ208" s="303"/>
      <c r="AK208" s="303"/>
      <c r="AL208" s="303"/>
      <c r="AM208" s="303"/>
      <c r="AN208" s="303"/>
      <c r="AO208" s="303"/>
      <c r="AP208" s="303"/>
      <c r="AQ208" s="303"/>
      <c r="AR208" s="303"/>
      <c r="AS208" s="303"/>
      <c r="AT208" s="303"/>
      <c r="AU208" s="303"/>
      <c r="AV208" s="303"/>
      <c r="AW208" s="304"/>
      <c r="AX208" s="305">
        <f t="shared" si="45"/>
        <v>1</v>
      </c>
      <c r="AY208" s="306">
        <f t="shared" si="46"/>
        <v>0</v>
      </c>
      <c r="AZ208" s="306">
        <f t="shared" si="47"/>
        <v>0</v>
      </c>
      <c r="BA208" s="307">
        <f t="shared" si="48"/>
        <v>40</v>
      </c>
      <c r="BB208" s="291"/>
    </row>
    <row r="209" spans="1:54" ht="20.25" customHeight="1">
      <c r="A209" s="201">
        <v>31</v>
      </c>
      <c r="B209" s="63">
        <f t="shared" si="39"/>
        <v>0</v>
      </c>
      <c r="C209" s="302"/>
      <c r="D209" s="303"/>
      <c r="E209" s="303"/>
      <c r="F209" s="303"/>
      <c r="G209" s="303"/>
      <c r="H209" s="303"/>
      <c r="I209" s="303"/>
      <c r="J209" s="303"/>
      <c r="K209" s="303"/>
      <c r="L209" s="303"/>
      <c r="M209" s="303"/>
      <c r="N209" s="303"/>
      <c r="O209" s="303"/>
      <c r="P209" s="303"/>
      <c r="Q209" s="303"/>
      <c r="R209" s="303"/>
      <c r="S209" s="303"/>
      <c r="T209" s="303"/>
      <c r="U209" s="303"/>
      <c r="V209" s="304"/>
      <c r="W209" s="305">
        <f t="shared" si="40"/>
        <v>0</v>
      </c>
      <c r="X209" s="306">
        <f t="shared" si="41"/>
        <v>0</v>
      </c>
      <c r="Y209" s="306">
        <f t="shared" si="42"/>
        <v>0</v>
      </c>
      <c r="Z209" s="307">
        <f t="shared" si="43"/>
        <v>0</v>
      </c>
      <c r="AA209" s="291"/>
      <c r="AB209" s="201">
        <v>31</v>
      </c>
      <c r="AC209" s="63">
        <f t="shared" si="44"/>
        <v>0</v>
      </c>
      <c r="AD209" s="302"/>
      <c r="AE209" s="303"/>
      <c r="AF209" s="303"/>
      <c r="AG209" s="303"/>
      <c r="AH209" s="303"/>
      <c r="AI209" s="303"/>
      <c r="AJ209" s="303"/>
      <c r="AK209" s="303"/>
      <c r="AL209" s="303"/>
      <c r="AM209" s="303"/>
      <c r="AN209" s="303"/>
      <c r="AO209" s="303"/>
      <c r="AP209" s="303"/>
      <c r="AQ209" s="303"/>
      <c r="AR209" s="303"/>
      <c r="AS209" s="303"/>
      <c r="AT209" s="303"/>
      <c r="AU209" s="303"/>
      <c r="AV209" s="303"/>
      <c r="AW209" s="304"/>
      <c r="AX209" s="305">
        <f t="shared" si="45"/>
        <v>0</v>
      </c>
      <c r="AY209" s="306">
        <f t="shared" si="46"/>
        <v>0</v>
      </c>
      <c r="AZ209" s="306">
        <f t="shared" si="47"/>
        <v>0</v>
      </c>
      <c r="BA209" s="307">
        <f t="shared" si="48"/>
        <v>0</v>
      </c>
      <c r="BB209" s="291"/>
    </row>
    <row r="210" spans="1:54" ht="20.25" customHeight="1">
      <c r="A210" s="201">
        <v>32</v>
      </c>
      <c r="B210" s="63">
        <f t="shared" si="39"/>
        <v>0</v>
      </c>
      <c r="C210" s="302"/>
      <c r="D210" s="303"/>
      <c r="E210" s="303"/>
      <c r="F210" s="303"/>
      <c r="G210" s="303"/>
      <c r="H210" s="303"/>
      <c r="I210" s="303"/>
      <c r="J210" s="303"/>
      <c r="K210" s="303"/>
      <c r="L210" s="303"/>
      <c r="M210" s="303"/>
      <c r="N210" s="303"/>
      <c r="O210" s="303"/>
      <c r="P210" s="303"/>
      <c r="Q210" s="303"/>
      <c r="R210" s="303"/>
      <c r="S210" s="303"/>
      <c r="T210" s="303"/>
      <c r="U210" s="303"/>
      <c r="V210" s="304"/>
      <c r="W210" s="305">
        <f t="shared" si="40"/>
        <v>0</v>
      </c>
      <c r="X210" s="306">
        <f t="shared" si="41"/>
        <v>0</v>
      </c>
      <c r="Y210" s="306">
        <f t="shared" si="42"/>
        <v>0</v>
      </c>
      <c r="Z210" s="307">
        <f t="shared" si="43"/>
        <v>0</v>
      </c>
      <c r="AA210" s="291"/>
      <c r="AB210" s="201">
        <v>32</v>
      </c>
      <c r="AC210" s="63">
        <f t="shared" si="44"/>
        <v>0</v>
      </c>
      <c r="AD210" s="302"/>
      <c r="AE210" s="303"/>
      <c r="AF210" s="303"/>
      <c r="AG210" s="303"/>
      <c r="AH210" s="303"/>
      <c r="AI210" s="303"/>
      <c r="AJ210" s="303"/>
      <c r="AK210" s="303"/>
      <c r="AL210" s="303"/>
      <c r="AM210" s="303"/>
      <c r="AN210" s="303"/>
      <c r="AO210" s="303"/>
      <c r="AP210" s="303"/>
      <c r="AQ210" s="303"/>
      <c r="AR210" s="303"/>
      <c r="AS210" s="303"/>
      <c r="AT210" s="303"/>
      <c r="AU210" s="303"/>
      <c r="AV210" s="303"/>
      <c r="AW210" s="304"/>
      <c r="AX210" s="305">
        <f t="shared" si="45"/>
        <v>0</v>
      </c>
      <c r="AY210" s="306">
        <f t="shared" si="46"/>
        <v>0</v>
      </c>
      <c r="AZ210" s="306">
        <f t="shared" si="47"/>
        <v>0</v>
      </c>
      <c r="BA210" s="307">
        <f t="shared" si="48"/>
        <v>0</v>
      </c>
      <c r="BB210" s="291"/>
    </row>
    <row r="211" spans="1:54" ht="20.25" customHeight="1">
      <c r="A211" s="201">
        <v>33</v>
      </c>
      <c r="B211" s="63">
        <f t="shared" si="39"/>
        <v>0</v>
      </c>
      <c r="C211" s="302"/>
      <c r="D211" s="303"/>
      <c r="E211" s="303"/>
      <c r="F211" s="303"/>
      <c r="G211" s="303"/>
      <c r="H211" s="303"/>
      <c r="I211" s="303"/>
      <c r="J211" s="303"/>
      <c r="K211" s="303"/>
      <c r="L211" s="303"/>
      <c r="M211" s="303"/>
      <c r="N211" s="303"/>
      <c r="O211" s="303"/>
      <c r="P211" s="303"/>
      <c r="Q211" s="303"/>
      <c r="R211" s="303"/>
      <c r="S211" s="303"/>
      <c r="T211" s="303"/>
      <c r="U211" s="303"/>
      <c r="V211" s="304"/>
      <c r="W211" s="305">
        <f t="shared" si="40"/>
        <v>0</v>
      </c>
      <c r="X211" s="306">
        <f t="shared" si="41"/>
        <v>0</v>
      </c>
      <c r="Y211" s="306">
        <f t="shared" si="42"/>
        <v>0</v>
      </c>
      <c r="Z211" s="307">
        <f t="shared" si="43"/>
        <v>0</v>
      </c>
      <c r="AA211" s="291"/>
      <c r="AB211" s="201">
        <v>33</v>
      </c>
      <c r="AC211" s="63">
        <f t="shared" si="44"/>
        <v>0</v>
      </c>
      <c r="AD211" s="302"/>
      <c r="AE211" s="303"/>
      <c r="AF211" s="303"/>
      <c r="AG211" s="303"/>
      <c r="AH211" s="303"/>
      <c r="AI211" s="303"/>
      <c r="AJ211" s="303"/>
      <c r="AK211" s="303"/>
      <c r="AL211" s="303"/>
      <c r="AM211" s="303"/>
      <c r="AN211" s="303"/>
      <c r="AO211" s="303"/>
      <c r="AP211" s="303"/>
      <c r="AQ211" s="303"/>
      <c r="AR211" s="303"/>
      <c r="AS211" s="303"/>
      <c r="AT211" s="303"/>
      <c r="AU211" s="303"/>
      <c r="AV211" s="303"/>
      <c r="AW211" s="304"/>
      <c r="AX211" s="305">
        <f t="shared" si="45"/>
        <v>0</v>
      </c>
      <c r="AY211" s="306">
        <f t="shared" si="46"/>
        <v>0</v>
      </c>
      <c r="AZ211" s="306">
        <f t="shared" si="47"/>
        <v>0</v>
      </c>
      <c r="BA211" s="307">
        <f t="shared" si="48"/>
        <v>0</v>
      </c>
      <c r="BB211" s="291"/>
    </row>
    <row r="212" spans="1:54" ht="20.25" customHeight="1">
      <c r="A212" s="201">
        <v>34</v>
      </c>
      <c r="B212" s="63">
        <f t="shared" si="39"/>
        <v>0</v>
      </c>
      <c r="C212" s="302"/>
      <c r="D212" s="303"/>
      <c r="E212" s="303"/>
      <c r="F212" s="303"/>
      <c r="G212" s="303"/>
      <c r="H212" s="303"/>
      <c r="I212" s="303"/>
      <c r="J212" s="303"/>
      <c r="K212" s="303"/>
      <c r="L212" s="303"/>
      <c r="M212" s="303"/>
      <c r="N212" s="303"/>
      <c r="O212" s="303"/>
      <c r="P212" s="303"/>
      <c r="Q212" s="303"/>
      <c r="R212" s="303"/>
      <c r="S212" s="303"/>
      <c r="T212" s="303"/>
      <c r="U212" s="303"/>
      <c r="V212" s="304"/>
      <c r="W212" s="305">
        <f t="shared" si="40"/>
        <v>0</v>
      </c>
      <c r="X212" s="306">
        <f t="shared" si="41"/>
        <v>0</v>
      </c>
      <c r="Y212" s="306">
        <f t="shared" si="42"/>
        <v>0</v>
      </c>
      <c r="Z212" s="307">
        <f t="shared" si="43"/>
        <v>0</v>
      </c>
      <c r="AA212" s="291"/>
      <c r="AB212" s="201">
        <v>34</v>
      </c>
      <c r="AC212" s="63">
        <f t="shared" si="44"/>
        <v>0</v>
      </c>
      <c r="AD212" s="302"/>
      <c r="AE212" s="303"/>
      <c r="AF212" s="303"/>
      <c r="AG212" s="303"/>
      <c r="AH212" s="303"/>
      <c r="AI212" s="303"/>
      <c r="AJ212" s="303"/>
      <c r="AK212" s="303"/>
      <c r="AL212" s="303"/>
      <c r="AM212" s="303"/>
      <c r="AN212" s="303"/>
      <c r="AO212" s="303"/>
      <c r="AP212" s="303"/>
      <c r="AQ212" s="303"/>
      <c r="AR212" s="303"/>
      <c r="AS212" s="303"/>
      <c r="AT212" s="303"/>
      <c r="AU212" s="303"/>
      <c r="AV212" s="303"/>
      <c r="AW212" s="304"/>
      <c r="AX212" s="305">
        <f t="shared" si="45"/>
        <v>0</v>
      </c>
      <c r="AY212" s="306">
        <f t="shared" si="46"/>
        <v>0</v>
      </c>
      <c r="AZ212" s="306">
        <f t="shared" si="47"/>
        <v>0</v>
      </c>
      <c r="BA212" s="307">
        <f t="shared" si="48"/>
        <v>0</v>
      </c>
      <c r="BB212" s="291"/>
    </row>
    <row r="213" spans="1:54" ht="20.25" customHeight="1">
      <c r="A213" s="201">
        <v>35</v>
      </c>
      <c r="B213" s="64">
        <f t="shared" si="39"/>
        <v>0</v>
      </c>
      <c r="C213" s="308"/>
      <c r="D213" s="309"/>
      <c r="E213" s="309"/>
      <c r="F213" s="309"/>
      <c r="G213" s="309"/>
      <c r="H213" s="309"/>
      <c r="I213" s="309"/>
      <c r="J213" s="309"/>
      <c r="K213" s="309"/>
      <c r="L213" s="309"/>
      <c r="M213" s="309"/>
      <c r="N213" s="309"/>
      <c r="O213" s="309"/>
      <c r="P213" s="309"/>
      <c r="Q213" s="309"/>
      <c r="R213" s="309"/>
      <c r="S213" s="309"/>
      <c r="T213" s="309"/>
      <c r="U213" s="309"/>
      <c r="V213" s="310"/>
      <c r="W213" s="311">
        <f t="shared" si="40"/>
        <v>0</v>
      </c>
      <c r="X213" s="312">
        <f t="shared" si="41"/>
        <v>0</v>
      </c>
      <c r="Y213" s="312">
        <f t="shared" si="42"/>
        <v>0</v>
      </c>
      <c r="Z213" s="313">
        <f t="shared" si="43"/>
        <v>0</v>
      </c>
      <c r="AA213" s="291"/>
      <c r="AB213" s="201">
        <v>35</v>
      </c>
      <c r="AC213" s="64">
        <f t="shared" si="44"/>
        <v>0</v>
      </c>
      <c r="AD213" s="308"/>
      <c r="AE213" s="309"/>
      <c r="AF213" s="309"/>
      <c r="AG213" s="309"/>
      <c r="AH213" s="309"/>
      <c r="AI213" s="309"/>
      <c r="AJ213" s="309"/>
      <c r="AK213" s="309"/>
      <c r="AL213" s="309"/>
      <c r="AM213" s="309"/>
      <c r="AN213" s="309"/>
      <c r="AO213" s="309"/>
      <c r="AP213" s="309"/>
      <c r="AQ213" s="309"/>
      <c r="AR213" s="309"/>
      <c r="AS213" s="309"/>
      <c r="AT213" s="309"/>
      <c r="AU213" s="309"/>
      <c r="AV213" s="309"/>
      <c r="AW213" s="310"/>
      <c r="AX213" s="311">
        <f t="shared" si="45"/>
        <v>0</v>
      </c>
      <c r="AY213" s="312">
        <f t="shared" si="46"/>
        <v>0</v>
      </c>
      <c r="AZ213" s="312">
        <f t="shared" si="47"/>
        <v>0</v>
      </c>
      <c r="BA213" s="313">
        <f t="shared" si="48"/>
        <v>0</v>
      </c>
      <c r="BB213" s="291"/>
    </row>
    <row r="214" spans="1:54" ht="20.25" customHeight="1">
      <c r="A214" s="315"/>
      <c r="B214" s="292"/>
      <c r="C214" s="291"/>
      <c r="D214" s="291"/>
      <c r="E214" s="291"/>
      <c r="F214" s="291"/>
      <c r="G214" s="291"/>
      <c r="H214" s="291"/>
      <c r="I214" s="291"/>
      <c r="J214" s="291"/>
      <c r="K214" s="291"/>
      <c r="L214" s="291"/>
      <c r="M214" s="291"/>
      <c r="N214" s="291"/>
      <c r="O214" s="291"/>
      <c r="P214" s="291"/>
      <c r="Q214" s="291"/>
      <c r="R214" s="291"/>
      <c r="S214" s="291"/>
      <c r="T214" s="291"/>
      <c r="U214" s="291"/>
      <c r="V214" s="291"/>
      <c r="W214" s="291"/>
      <c r="X214" s="291"/>
      <c r="Y214" s="291"/>
      <c r="Z214" s="291"/>
      <c r="AA214" s="291"/>
      <c r="AB214" s="314"/>
      <c r="AC214" s="292"/>
      <c r="AD214" s="291"/>
      <c r="AE214" s="291"/>
      <c r="AF214" s="291"/>
      <c r="AG214" s="291"/>
      <c r="AH214" s="291"/>
      <c r="AI214" s="291"/>
      <c r="AJ214" s="291"/>
      <c r="AK214" s="291"/>
      <c r="AL214" s="291"/>
      <c r="AM214" s="291"/>
      <c r="AN214" s="291"/>
      <c r="AO214" s="291"/>
      <c r="AP214" s="291"/>
      <c r="AQ214" s="291"/>
      <c r="AR214" s="291"/>
      <c r="AS214" s="291"/>
      <c r="AT214" s="291"/>
      <c r="AU214" s="291"/>
      <c r="AV214" s="291"/>
      <c r="AW214" s="291"/>
      <c r="AX214" s="291"/>
      <c r="AY214" s="291"/>
      <c r="AZ214" s="291"/>
      <c r="BA214" s="291"/>
      <c r="BB214" s="291"/>
    </row>
    <row r="215" spans="1:54" ht="20.25" customHeight="1">
      <c r="A215" s="67" t="s">
        <v>178</v>
      </c>
      <c r="B215" s="375" t="s">
        <v>81</v>
      </c>
      <c r="C215" s="375"/>
      <c r="D215" s="375"/>
      <c r="E215" s="375"/>
      <c r="F215" s="375"/>
      <c r="G215" s="375"/>
      <c r="H215" s="375"/>
      <c r="I215" s="375"/>
      <c r="J215" s="375"/>
      <c r="K215" s="375"/>
      <c r="L215" s="375"/>
      <c r="M215" s="375"/>
      <c r="N215" s="375"/>
      <c r="O215" s="375"/>
      <c r="P215" s="375"/>
      <c r="Q215" s="375"/>
      <c r="R215" s="375"/>
      <c r="S215" s="375"/>
      <c r="T215" s="375"/>
      <c r="U215" s="375"/>
      <c r="V215" s="375"/>
      <c r="W215" s="375"/>
      <c r="X215" s="375"/>
      <c r="Y215" s="375"/>
      <c r="Z215" s="375"/>
      <c r="AA215" s="43"/>
      <c r="AB215" s="67" t="s">
        <v>178</v>
      </c>
      <c r="AC215" s="375" t="s">
        <v>81</v>
      </c>
      <c r="AD215" s="375"/>
      <c r="AE215" s="375"/>
      <c r="AF215" s="375"/>
      <c r="AG215" s="375"/>
      <c r="AH215" s="375"/>
      <c r="AI215" s="375"/>
      <c r="AJ215" s="375"/>
      <c r="AK215" s="375"/>
      <c r="AL215" s="375"/>
      <c r="AM215" s="375"/>
      <c r="AN215" s="375"/>
      <c r="AO215" s="375"/>
      <c r="AP215" s="375"/>
      <c r="AQ215" s="375"/>
      <c r="AR215" s="375"/>
      <c r="AS215" s="375"/>
      <c r="AT215" s="375"/>
      <c r="AU215" s="375"/>
      <c r="AV215" s="375"/>
      <c r="AW215" s="375"/>
      <c r="AX215" s="375"/>
      <c r="AY215" s="375"/>
      <c r="AZ215" s="375"/>
      <c r="BA215" s="375"/>
      <c r="BB215" s="291"/>
    </row>
    <row r="216" spans="1:54" ht="20.25" customHeight="1">
      <c r="A216" s="51"/>
      <c r="B216" s="376" t="s">
        <v>82</v>
      </c>
      <c r="C216" s="376"/>
      <c r="D216" s="376"/>
      <c r="E216" s="376"/>
      <c r="F216" s="376"/>
      <c r="G216" s="376"/>
      <c r="H216" s="376"/>
      <c r="I216" s="376"/>
      <c r="J216" s="376"/>
      <c r="K216" s="376"/>
      <c r="L216" s="376"/>
      <c r="M216" s="376"/>
      <c r="N216" s="376"/>
      <c r="O216" s="376"/>
      <c r="P216" s="376"/>
      <c r="Q216" s="376"/>
      <c r="R216" s="376"/>
      <c r="S216" s="376"/>
      <c r="T216" s="376"/>
      <c r="U216" s="376"/>
      <c r="V216" s="376"/>
      <c r="W216" s="376"/>
      <c r="X216" s="376"/>
      <c r="Y216" s="376"/>
      <c r="Z216" s="376"/>
      <c r="AA216" s="43"/>
      <c r="AB216" s="51"/>
      <c r="AC216" s="376" t="s">
        <v>82</v>
      </c>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6"/>
      <c r="AY216" s="376"/>
      <c r="AZ216" s="376"/>
      <c r="BA216" s="376"/>
      <c r="BB216" s="291"/>
    </row>
    <row r="217" spans="1:54" s="290" customFormat="1" ht="20.25" customHeight="1">
      <c r="A217" s="51"/>
      <c r="B217" s="200" t="str">
        <f>CONCATENATE("ધોરણ - ",SCHOOL!$D$2)</f>
        <v>ધોરણ - 6</v>
      </c>
      <c r="C217" s="374" t="s">
        <v>107</v>
      </c>
      <c r="D217" s="374"/>
      <c r="E217" s="374"/>
      <c r="F217" s="374"/>
      <c r="G217" s="374"/>
      <c r="H217" s="374"/>
      <c r="I217" s="374"/>
      <c r="J217" s="374"/>
      <c r="K217" s="374" t="s">
        <v>84</v>
      </c>
      <c r="L217" s="374"/>
      <c r="M217" s="374"/>
      <c r="N217" s="374"/>
      <c r="O217" s="374"/>
      <c r="P217" s="374"/>
      <c r="Q217" s="374"/>
      <c r="R217" s="374" t="s">
        <v>85</v>
      </c>
      <c r="S217" s="374"/>
      <c r="T217" s="374"/>
      <c r="U217" s="374"/>
      <c r="V217" s="374"/>
      <c r="W217" s="374"/>
      <c r="X217" s="374"/>
      <c r="Y217" s="374">
        <f>COUNTA(C220:V220)</f>
        <v>1</v>
      </c>
      <c r="Z217" s="374"/>
      <c r="AA217" s="65"/>
      <c r="AB217" s="51"/>
      <c r="AC217" s="200" t="str">
        <f>CONCATENATE("ધોરણ - ",SCHOOL!$D$2)</f>
        <v>ધોરણ - 6</v>
      </c>
      <c r="AD217" s="374" t="str">
        <f>C217</f>
        <v xml:space="preserve"> વિષય-અંગ્રેજી</v>
      </c>
      <c r="AE217" s="374"/>
      <c r="AF217" s="374"/>
      <c r="AG217" s="374"/>
      <c r="AH217" s="374"/>
      <c r="AI217" s="374"/>
      <c r="AJ217" s="374"/>
      <c r="AK217" s="374"/>
      <c r="AL217" s="374" t="s">
        <v>102</v>
      </c>
      <c r="AM217" s="374"/>
      <c r="AN217" s="374"/>
      <c r="AO217" s="374"/>
      <c r="AP217" s="374"/>
      <c r="AQ217" s="374"/>
      <c r="AR217" s="374"/>
      <c r="AS217" s="374" t="s">
        <v>85</v>
      </c>
      <c r="AT217" s="374"/>
      <c r="AU217" s="374"/>
      <c r="AV217" s="374"/>
      <c r="AW217" s="374"/>
      <c r="AX217" s="374"/>
      <c r="AY217" s="374"/>
      <c r="AZ217" s="374">
        <f>COUNTA(AD220:AW220)</f>
        <v>1</v>
      </c>
      <c r="BA217" s="374"/>
      <c r="BB217" s="292"/>
    </row>
    <row r="218" spans="1:54" ht="20.25" customHeight="1">
      <c r="A218" s="358"/>
      <c r="B218" s="359" t="s">
        <v>86</v>
      </c>
      <c r="C218" s="362" t="s">
        <v>87</v>
      </c>
      <c r="D218" s="363"/>
      <c r="E218" s="363"/>
      <c r="F218" s="363"/>
      <c r="G218" s="363"/>
      <c r="H218" s="363"/>
      <c r="I218" s="363"/>
      <c r="J218" s="363"/>
      <c r="K218" s="363"/>
      <c r="L218" s="363"/>
      <c r="M218" s="363"/>
      <c r="N218" s="363"/>
      <c r="O218" s="363"/>
      <c r="P218" s="363"/>
      <c r="Q218" s="363"/>
      <c r="R218" s="363"/>
      <c r="S218" s="363"/>
      <c r="T218" s="363"/>
      <c r="U218" s="363"/>
      <c r="V218" s="364"/>
      <c r="W218" s="365" t="s">
        <v>88</v>
      </c>
      <c r="X218" s="366"/>
      <c r="Y218" s="367"/>
      <c r="Z218" s="371" t="s">
        <v>90</v>
      </c>
      <c r="AA218" s="291"/>
      <c r="AB218" s="358"/>
      <c r="AC218" s="359" t="s">
        <v>86</v>
      </c>
      <c r="AD218" s="362" t="s">
        <v>87</v>
      </c>
      <c r="AE218" s="363"/>
      <c r="AF218" s="363"/>
      <c r="AG218" s="363"/>
      <c r="AH218" s="363"/>
      <c r="AI218" s="363"/>
      <c r="AJ218" s="363"/>
      <c r="AK218" s="363"/>
      <c r="AL218" s="363"/>
      <c r="AM218" s="363"/>
      <c r="AN218" s="363"/>
      <c r="AO218" s="363"/>
      <c r="AP218" s="363"/>
      <c r="AQ218" s="363"/>
      <c r="AR218" s="363"/>
      <c r="AS218" s="363"/>
      <c r="AT218" s="363"/>
      <c r="AU218" s="363"/>
      <c r="AV218" s="363"/>
      <c r="AW218" s="364"/>
      <c r="AX218" s="365" t="s">
        <v>88</v>
      </c>
      <c r="AY218" s="366"/>
      <c r="AZ218" s="367"/>
      <c r="BA218" s="371" t="s">
        <v>90</v>
      </c>
      <c r="BB218" s="291"/>
    </row>
    <row r="219" spans="1:54" ht="20.25" customHeight="1">
      <c r="A219" s="358"/>
      <c r="B219" s="360"/>
      <c r="C219" s="45">
        <v>1</v>
      </c>
      <c r="D219" s="46">
        <v>2</v>
      </c>
      <c r="E219" s="46">
        <v>3</v>
      </c>
      <c r="F219" s="46">
        <v>4</v>
      </c>
      <c r="G219" s="46">
        <v>5</v>
      </c>
      <c r="H219" s="46">
        <v>6</v>
      </c>
      <c r="I219" s="46">
        <v>7</v>
      </c>
      <c r="J219" s="46">
        <v>8</v>
      </c>
      <c r="K219" s="46">
        <v>9</v>
      </c>
      <c r="L219" s="46">
        <v>10</v>
      </c>
      <c r="M219" s="46">
        <v>11</v>
      </c>
      <c r="N219" s="46">
        <v>12</v>
      </c>
      <c r="O219" s="46">
        <v>13</v>
      </c>
      <c r="P219" s="46">
        <v>14</v>
      </c>
      <c r="Q219" s="46">
        <v>15</v>
      </c>
      <c r="R219" s="46">
        <v>16</v>
      </c>
      <c r="S219" s="46">
        <v>17</v>
      </c>
      <c r="T219" s="46">
        <v>18</v>
      </c>
      <c r="U219" s="46">
        <v>19</v>
      </c>
      <c r="V219" s="47">
        <v>20</v>
      </c>
      <c r="W219" s="368"/>
      <c r="X219" s="369"/>
      <c r="Y219" s="370"/>
      <c r="Z219" s="372"/>
      <c r="AA219" s="291"/>
      <c r="AB219" s="358"/>
      <c r="AC219" s="360"/>
      <c r="AD219" s="45">
        <v>1</v>
      </c>
      <c r="AE219" s="46">
        <v>2</v>
      </c>
      <c r="AF219" s="46">
        <v>3</v>
      </c>
      <c r="AG219" s="46">
        <v>4</v>
      </c>
      <c r="AH219" s="46">
        <v>5</v>
      </c>
      <c r="AI219" s="46">
        <v>6</v>
      </c>
      <c r="AJ219" s="46">
        <v>7</v>
      </c>
      <c r="AK219" s="46">
        <v>8</v>
      </c>
      <c r="AL219" s="46">
        <v>9</v>
      </c>
      <c r="AM219" s="46">
        <v>10</v>
      </c>
      <c r="AN219" s="46">
        <v>11</v>
      </c>
      <c r="AO219" s="46">
        <v>12</v>
      </c>
      <c r="AP219" s="46">
        <v>13</v>
      </c>
      <c r="AQ219" s="46">
        <v>14</v>
      </c>
      <c r="AR219" s="46">
        <v>15</v>
      </c>
      <c r="AS219" s="46">
        <v>16</v>
      </c>
      <c r="AT219" s="46">
        <v>17</v>
      </c>
      <c r="AU219" s="46">
        <v>18</v>
      </c>
      <c r="AV219" s="46">
        <v>19</v>
      </c>
      <c r="AW219" s="47">
        <v>20</v>
      </c>
      <c r="AX219" s="368"/>
      <c r="AY219" s="369"/>
      <c r="AZ219" s="370"/>
      <c r="BA219" s="372"/>
      <c r="BB219" s="291"/>
    </row>
    <row r="220" spans="1:54" ht="36.75" customHeight="1">
      <c r="A220" s="358"/>
      <c r="B220" s="361"/>
      <c r="C220" s="293" t="s">
        <v>80</v>
      </c>
      <c r="D220" s="294"/>
      <c r="E220" s="294"/>
      <c r="F220" s="294"/>
      <c r="G220" s="294"/>
      <c r="H220" s="294"/>
      <c r="I220" s="294"/>
      <c r="J220" s="294"/>
      <c r="K220" s="294"/>
      <c r="L220" s="294"/>
      <c r="M220" s="294"/>
      <c r="N220" s="294"/>
      <c r="O220" s="294"/>
      <c r="P220" s="294"/>
      <c r="Q220" s="294"/>
      <c r="R220" s="294"/>
      <c r="S220" s="294"/>
      <c r="T220" s="294"/>
      <c r="U220" s="294"/>
      <c r="V220" s="295"/>
      <c r="W220" s="48" t="s">
        <v>91</v>
      </c>
      <c r="X220" s="49" t="s">
        <v>92</v>
      </c>
      <c r="Y220" s="50" t="s">
        <v>89</v>
      </c>
      <c r="Z220" s="373"/>
      <c r="AA220" s="291"/>
      <c r="AB220" s="358"/>
      <c r="AC220" s="361"/>
      <c r="AD220" s="293" t="s">
        <v>80</v>
      </c>
      <c r="AE220" s="294"/>
      <c r="AF220" s="294"/>
      <c r="AG220" s="294"/>
      <c r="AH220" s="294"/>
      <c r="AI220" s="294"/>
      <c r="AJ220" s="294"/>
      <c r="AK220" s="294"/>
      <c r="AL220" s="294"/>
      <c r="AM220" s="294"/>
      <c r="AN220" s="294"/>
      <c r="AO220" s="294"/>
      <c r="AP220" s="294"/>
      <c r="AQ220" s="294"/>
      <c r="AR220" s="294"/>
      <c r="AS220" s="294"/>
      <c r="AT220" s="294"/>
      <c r="AU220" s="294"/>
      <c r="AV220" s="294"/>
      <c r="AW220" s="295"/>
      <c r="AX220" s="48" t="s">
        <v>91</v>
      </c>
      <c r="AY220" s="49" t="s">
        <v>92</v>
      </c>
      <c r="AZ220" s="50" t="s">
        <v>89</v>
      </c>
      <c r="BA220" s="373"/>
      <c r="BB220" s="291"/>
    </row>
    <row r="221" spans="1:54" ht="20.25" customHeight="1">
      <c r="A221" s="201">
        <v>1</v>
      </c>
      <c r="B221" s="62" t="str">
        <f>B11</f>
        <v>ગોહેલ રાજેશભાઇ ચીથરભાઇ</v>
      </c>
      <c r="C221" s="296" t="s">
        <v>91</v>
      </c>
      <c r="D221" s="297"/>
      <c r="E221" s="297"/>
      <c r="F221" s="297"/>
      <c r="G221" s="297"/>
      <c r="H221" s="297"/>
      <c r="I221" s="297"/>
      <c r="J221" s="297"/>
      <c r="K221" s="297"/>
      <c r="L221" s="297"/>
      <c r="M221" s="297"/>
      <c r="N221" s="297"/>
      <c r="O221" s="297"/>
      <c r="P221" s="297"/>
      <c r="Q221" s="297"/>
      <c r="R221" s="297"/>
      <c r="S221" s="297"/>
      <c r="T221" s="297"/>
      <c r="U221" s="297"/>
      <c r="V221" s="298"/>
      <c r="W221" s="299">
        <f>COUNTIF(C221:V221,"√")</f>
        <v>1</v>
      </c>
      <c r="X221" s="300">
        <f>COUNTIF(C221:V221," ?")</f>
        <v>0</v>
      </c>
      <c r="Y221" s="300">
        <f>COUNTIF(C221:V221,"X")</f>
        <v>0</v>
      </c>
      <c r="Z221" s="301">
        <f>ROUND((40/$Y$217)*W221,0)</f>
        <v>40</v>
      </c>
      <c r="AA221" s="291"/>
      <c r="AB221" s="201">
        <v>1</v>
      </c>
      <c r="AC221" s="62" t="str">
        <f>B221</f>
        <v>ગોહેલ રાજેશભાઇ ચીથરભાઇ</v>
      </c>
      <c r="AD221" s="296" t="s">
        <v>91</v>
      </c>
      <c r="AE221" s="297"/>
      <c r="AF221" s="297"/>
      <c r="AG221" s="297"/>
      <c r="AH221" s="297"/>
      <c r="AI221" s="297"/>
      <c r="AJ221" s="297"/>
      <c r="AK221" s="297"/>
      <c r="AL221" s="297"/>
      <c r="AM221" s="297"/>
      <c r="AN221" s="297"/>
      <c r="AO221" s="297"/>
      <c r="AP221" s="297"/>
      <c r="AQ221" s="297"/>
      <c r="AR221" s="297"/>
      <c r="AS221" s="297"/>
      <c r="AT221" s="297"/>
      <c r="AU221" s="297"/>
      <c r="AV221" s="297"/>
      <c r="AW221" s="298"/>
      <c r="AX221" s="299">
        <f>COUNTIF(AD221:AW221,"√")</f>
        <v>1</v>
      </c>
      <c r="AY221" s="300">
        <f>COUNTIF(AD221:AW221," ?")</f>
        <v>0</v>
      </c>
      <c r="AZ221" s="300">
        <f>COUNTIF(AD221:AW221,"X")</f>
        <v>0</v>
      </c>
      <c r="BA221" s="301">
        <f>ROUND((40/$AZ$217)*AX221,0)</f>
        <v>40</v>
      </c>
      <c r="BB221" s="291"/>
    </row>
    <row r="222" spans="1:54" ht="20.25" customHeight="1">
      <c r="A222" s="201">
        <v>2</v>
      </c>
      <c r="B222" s="63" t="str">
        <f t="shared" ref="B222:B255" si="49">B12</f>
        <v>ખિમસુરીયા સાહિલકુમાર અરજણભાઇ</v>
      </c>
      <c r="C222" s="302" t="s">
        <v>91</v>
      </c>
      <c r="D222" s="303"/>
      <c r="E222" s="303"/>
      <c r="F222" s="303"/>
      <c r="G222" s="303"/>
      <c r="H222" s="303"/>
      <c r="I222" s="303"/>
      <c r="J222" s="303"/>
      <c r="K222" s="303"/>
      <c r="L222" s="303"/>
      <c r="M222" s="303"/>
      <c r="N222" s="303"/>
      <c r="O222" s="303"/>
      <c r="P222" s="303"/>
      <c r="Q222" s="303"/>
      <c r="R222" s="303"/>
      <c r="S222" s="303"/>
      <c r="T222" s="303"/>
      <c r="U222" s="303"/>
      <c r="V222" s="304"/>
      <c r="W222" s="305">
        <f t="shared" ref="W222:W255" si="50">COUNTIF(C222:V222,"√")</f>
        <v>1</v>
      </c>
      <c r="X222" s="306">
        <f t="shared" ref="X222:X255" si="51">COUNTIF(C222:V222," ?")</f>
        <v>0</v>
      </c>
      <c r="Y222" s="306">
        <f t="shared" ref="Y222:Y255" si="52">COUNTIF(C222:V222,"X")</f>
        <v>0</v>
      </c>
      <c r="Z222" s="307">
        <f t="shared" ref="Z222:Z255" si="53">ROUND((40/$Y$217)*W222,0)</f>
        <v>40</v>
      </c>
      <c r="AA222" s="291"/>
      <c r="AB222" s="201">
        <v>2</v>
      </c>
      <c r="AC222" s="63" t="str">
        <f t="shared" ref="AC222:AC255" si="54">B222</f>
        <v>ખિમસુરીયા સાહિલકુમાર અરજણભાઇ</v>
      </c>
      <c r="AD222" s="302" t="s">
        <v>91</v>
      </c>
      <c r="AE222" s="303"/>
      <c r="AF222" s="303"/>
      <c r="AG222" s="303"/>
      <c r="AH222" s="303"/>
      <c r="AI222" s="303"/>
      <c r="AJ222" s="303"/>
      <c r="AK222" s="303"/>
      <c r="AL222" s="303"/>
      <c r="AM222" s="303"/>
      <c r="AN222" s="303"/>
      <c r="AO222" s="303"/>
      <c r="AP222" s="303"/>
      <c r="AQ222" s="303"/>
      <c r="AR222" s="303"/>
      <c r="AS222" s="303"/>
      <c r="AT222" s="303"/>
      <c r="AU222" s="303"/>
      <c r="AV222" s="303"/>
      <c r="AW222" s="304"/>
      <c r="AX222" s="305">
        <f t="shared" ref="AX222:AX255" si="55">COUNTIF(AD222:AW222,"√")</f>
        <v>1</v>
      </c>
      <c r="AY222" s="306">
        <f t="shared" ref="AY222:AY255" si="56">COUNTIF(AD222:AW222," ?")</f>
        <v>0</v>
      </c>
      <c r="AZ222" s="306">
        <f t="shared" ref="AZ222:AZ255" si="57">COUNTIF(AD222:AW222,"X")</f>
        <v>0</v>
      </c>
      <c r="BA222" s="307">
        <f t="shared" ref="BA222:BA255" si="58">ROUND((40/$AZ$217)*AX222,0)</f>
        <v>40</v>
      </c>
      <c r="BB222" s="291"/>
    </row>
    <row r="223" spans="1:54" ht="20.25" customHeight="1">
      <c r="A223" s="201">
        <v>3</v>
      </c>
      <c r="B223" s="63" t="str">
        <f t="shared" si="49"/>
        <v>ગરણિયા મયુરકુમાર અશોકભાઇ</v>
      </c>
      <c r="C223" s="302" t="s">
        <v>91</v>
      </c>
      <c r="D223" s="303"/>
      <c r="E223" s="303"/>
      <c r="F223" s="303"/>
      <c r="G223" s="303"/>
      <c r="H223" s="303"/>
      <c r="I223" s="303"/>
      <c r="J223" s="303"/>
      <c r="K223" s="303"/>
      <c r="L223" s="303"/>
      <c r="M223" s="303"/>
      <c r="N223" s="303"/>
      <c r="O223" s="303"/>
      <c r="P223" s="303"/>
      <c r="Q223" s="303"/>
      <c r="R223" s="303"/>
      <c r="S223" s="303"/>
      <c r="T223" s="303"/>
      <c r="U223" s="303"/>
      <c r="V223" s="304"/>
      <c r="W223" s="305">
        <f t="shared" si="50"/>
        <v>1</v>
      </c>
      <c r="X223" s="306">
        <f t="shared" si="51"/>
        <v>0</v>
      </c>
      <c r="Y223" s="306">
        <f t="shared" si="52"/>
        <v>0</v>
      </c>
      <c r="Z223" s="307">
        <f t="shared" si="53"/>
        <v>40</v>
      </c>
      <c r="AA223" s="291"/>
      <c r="AB223" s="201">
        <v>3</v>
      </c>
      <c r="AC223" s="63" t="str">
        <f t="shared" si="54"/>
        <v>ગરણિયા મયુરકુમાર અશોકભાઇ</v>
      </c>
      <c r="AD223" s="302" t="s">
        <v>91</v>
      </c>
      <c r="AE223" s="303"/>
      <c r="AF223" s="303"/>
      <c r="AG223" s="303"/>
      <c r="AH223" s="303"/>
      <c r="AI223" s="303"/>
      <c r="AJ223" s="303"/>
      <c r="AK223" s="303"/>
      <c r="AL223" s="303"/>
      <c r="AM223" s="303"/>
      <c r="AN223" s="303"/>
      <c r="AO223" s="303"/>
      <c r="AP223" s="303"/>
      <c r="AQ223" s="303"/>
      <c r="AR223" s="303"/>
      <c r="AS223" s="303"/>
      <c r="AT223" s="303"/>
      <c r="AU223" s="303"/>
      <c r="AV223" s="303"/>
      <c r="AW223" s="304"/>
      <c r="AX223" s="305">
        <f t="shared" si="55"/>
        <v>1</v>
      </c>
      <c r="AY223" s="306">
        <f t="shared" si="56"/>
        <v>0</v>
      </c>
      <c r="AZ223" s="306">
        <f t="shared" si="57"/>
        <v>0</v>
      </c>
      <c r="BA223" s="307">
        <f t="shared" si="58"/>
        <v>40</v>
      </c>
      <c r="BB223" s="291"/>
    </row>
    <row r="224" spans="1:54" ht="20.25" customHeight="1">
      <c r="A224" s="201">
        <v>4</v>
      </c>
      <c r="B224" s="63" t="str">
        <f t="shared" si="49"/>
        <v>ગરણિયા અલ્પેશકુમાર મેરામભાઇ</v>
      </c>
      <c r="C224" s="302" t="s">
        <v>91</v>
      </c>
      <c r="D224" s="303"/>
      <c r="E224" s="303"/>
      <c r="F224" s="303"/>
      <c r="G224" s="303"/>
      <c r="H224" s="303"/>
      <c r="I224" s="303"/>
      <c r="J224" s="303"/>
      <c r="K224" s="303"/>
      <c r="L224" s="303"/>
      <c r="M224" s="303"/>
      <c r="N224" s="303"/>
      <c r="O224" s="303"/>
      <c r="P224" s="303"/>
      <c r="Q224" s="303"/>
      <c r="R224" s="303"/>
      <c r="S224" s="303"/>
      <c r="T224" s="303"/>
      <c r="U224" s="303"/>
      <c r="V224" s="304"/>
      <c r="W224" s="305">
        <f t="shared" si="50"/>
        <v>1</v>
      </c>
      <c r="X224" s="306">
        <f t="shared" si="51"/>
        <v>0</v>
      </c>
      <c r="Y224" s="306">
        <f t="shared" si="52"/>
        <v>0</v>
      </c>
      <c r="Z224" s="307">
        <f t="shared" si="53"/>
        <v>40</v>
      </c>
      <c r="AA224" s="291"/>
      <c r="AB224" s="201">
        <v>4</v>
      </c>
      <c r="AC224" s="63" t="str">
        <f t="shared" si="54"/>
        <v>ગરણિયા અલ્પેશકુમાર મેરામભાઇ</v>
      </c>
      <c r="AD224" s="302" t="s">
        <v>91</v>
      </c>
      <c r="AE224" s="303"/>
      <c r="AF224" s="303"/>
      <c r="AG224" s="303"/>
      <c r="AH224" s="303"/>
      <c r="AI224" s="303"/>
      <c r="AJ224" s="303"/>
      <c r="AK224" s="303"/>
      <c r="AL224" s="303"/>
      <c r="AM224" s="303"/>
      <c r="AN224" s="303"/>
      <c r="AO224" s="303"/>
      <c r="AP224" s="303"/>
      <c r="AQ224" s="303"/>
      <c r="AR224" s="303"/>
      <c r="AS224" s="303"/>
      <c r="AT224" s="303"/>
      <c r="AU224" s="303"/>
      <c r="AV224" s="303"/>
      <c r="AW224" s="304"/>
      <c r="AX224" s="305">
        <f t="shared" si="55"/>
        <v>1</v>
      </c>
      <c r="AY224" s="306">
        <f t="shared" si="56"/>
        <v>0</v>
      </c>
      <c r="AZ224" s="306">
        <f t="shared" si="57"/>
        <v>0</v>
      </c>
      <c r="BA224" s="307">
        <f t="shared" si="58"/>
        <v>40</v>
      </c>
      <c r="BB224" s="291"/>
    </row>
    <row r="225" spans="1:54" ht="20.25" customHeight="1">
      <c r="A225" s="201">
        <v>5</v>
      </c>
      <c r="B225" s="63" t="str">
        <f t="shared" si="49"/>
        <v>ગરણિયા મિલન પોપટભાઇ</v>
      </c>
      <c r="C225" s="302" t="s">
        <v>91</v>
      </c>
      <c r="D225" s="303"/>
      <c r="E225" s="303"/>
      <c r="F225" s="303"/>
      <c r="G225" s="303"/>
      <c r="H225" s="303"/>
      <c r="I225" s="303"/>
      <c r="J225" s="303"/>
      <c r="K225" s="303"/>
      <c r="L225" s="303"/>
      <c r="M225" s="303"/>
      <c r="N225" s="303"/>
      <c r="O225" s="303"/>
      <c r="P225" s="303"/>
      <c r="Q225" s="303"/>
      <c r="R225" s="303"/>
      <c r="S225" s="303"/>
      <c r="T225" s="303"/>
      <c r="U225" s="303"/>
      <c r="V225" s="304"/>
      <c r="W225" s="305">
        <f t="shared" si="50"/>
        <v>1</v>
      </c>
      <c r="X225" s="306">
        <f t="shared" si="51"/>
        <v>0</v>
      </c>
      <c r="Y225" s="306">
        <f t="shared" si="52"/>
        <v>0</v>
      </c>
      <c r="Z225" s="307">
        <f t="shared" si="53"/>
        <v>40</v>
      </c>
      <c r="AA225" s="291"/>
      <c r="AB225" s="201">
        <v>5</v>
      </c>
      <c r="AC225" s="63" t="str">
        <f t="shared" si="54"/>
        <v>ગરણિયા મિલન પોપટભાઇ</v>
      </c>
      <c r="AD225" s="302" t="s">
        <v>91</v>
      </c>
      <c r="AE225" s="303"/>
      <c r="AF225" s="303"/>
      <c r="AG225" s="303"/>
      <c r="AH225" s="303"/>
      <c r="AI225" s="303"/>
      <c r="AJ225" s="303"/>
      <c r="AK225" s="303"/>
      <c r="AL225" s="303"/>
      <c r="AM225" s="303"/>
      <c r="AN225" s="303"/>
      <c r="AO225" s="303"/>
      <c r="AP225" s="303"/>
      <c r="AQ225" s="303"/>
      <c r="AR225" s="303"/>
      <c r="AS225" s="303"/>
      <c r="AT225" s="303"/>
      <c r="AU225" s="303"/>
      <c r="AV225" s="303"/>
      <c r="AW225" s="304"/>
      <c r="AX225" s="305">
        <f t="shared" si="55"/>
        <v>1</v>
      </c>
      <c r="AY225" s="306">
        <f t="shared" si="56"/>
        <v>0</v>
      </c>
      <c r="AZ225" s="306">
        <f t="shared" si="57"/>
        <v>0</v>
      </c>
      <c r="BA225" s="307">
        <f t="shared" si="58"/>
        <v>40</v>
      </c>
      <c r="BB225" s="291"/>
    </row>
    <row r="226" spans="1:54" ht="20.25" customHeight="1">
      <c r="A226" s="201">
        <v>6</v>
      </c>
      <c r="B226" s="63" t="str">
        <f t="shared" si="49"/>
        <v>ગરણિયા મોહિત રાવતભાઇ</v>
      </c>
      <c r="C226" s="302" t="s">
        <v>91</v>
      </c>
      <c r="D226" s="303"/>
      <c r="E226" s="303"/>
      <c r="F226" s="303"/>
      <c r="G226" s="303"/>
      <c r="H226" s="303"/>
      <c r="I226" s="303"/>
      <c r="J226" s="303"/>
      <c r="K226" s="303"/>
      <c r="L226" s="303"/>
      <c r="M226" s="303"/>
      <c r="N226" s="303"/>
      <c r="O226" s="303"/>
      <c r="P226" s="303"/>
      <c r="Q226" s="303"/>
      <c r="R226" s="303"/>
      <c r="S226" s="303"/>
      <c r="T226" s="303"/>
      <c r="U226" s="303"/>
      <c r="V226" s="304"/>
      <c r="W226" s="305">
        <f t="shared" si="50"/>
        <v>1</v>
      </c>
      <c r="X226" s="306">
        <f t="shared" si="51"/>
        <v>0</v>
      </c>
      <c r="Y226" s="306">
        <f t="shared" si="52"/>
        <v>0</v>
      </c>
      <c r="Z226" s="307">
        <f t="shared" si="53"/>
        <v>40</v>
      </c>
      <c r="AA226" s="291"/>
      <c r="AB226" s="201">
        <v>6</v>
      </c>
      <c r="AC226" s="63" t="str">
        <f t="shared" si="54"/>
        <v>ગરણિયા મોહિત રાવતભાઇ</v>
      </c>
      <c r="AD226" s="302" t="s">
        <v>91</v>
      </c>
      <c r="AE226" s="303"/>
      <c r="AF226" s="303"/>
      <c r="AG226" s="303"/>
      <c r="AH226" s="303"/>
      <c r="AI226" s="303"/>
      <c r="AJ226" s="303"/>
      <c r="AK226" s="303"/>
      <c r="AL226" s="303"/>
      <c r="AM226" s="303"/>
      <c r="AN226" s="303"/>
      <c r="AO226" s="303"/>
      <c r="AP226" s="303"/>
      <c r="AQ226" s="303"/>
      <c r="AR226" s="303"/>
      <c r="AS226" s="303"/>
      <c r="AT226" s="303"/>
      <c r="AU226" s="303"/>
      <c r="AV226" s="303"/>
      <c r="AW226" s="304"/>
      <c r="AX226" s="305">
        <f t="shared" si="55"/>
        <v>1</v>
      </c>
      <c r="AY226" s="306">
        <f t="shared" si="56"/>
        <v>0</v>
      </c>
      <c r="AZ226" s="306">
        <f t="shared" si="57"/>
        <v>0</v>
      </c>
      <c r="BA226" s="307">
        <f t="shared" si="58"/>
        <v>40</v>
      </c>
      <c r="BB226" s="291"/>
    </row>
    <row r="227" spans="1:54" ht="20.25" customHeight="1">
      <c r="A227" s="201">
        <v>7</v>
      </c>
      <c r="B227" s="63" t="str">
        <f t="shared" si="49"/>
        <v>ગરણિયા સુમિત પોપટભાઇ</v>
      </c>
      <c r="C227" s="302" t="s">
        <v>91</v>
      </c>
      <c r="D227" s="303"/>
      <c r="E227" s="303"/>
      <c r="F227" s="303"/>
      <c r="G227" s="303"/>
      <c r="H227" s="303"/>
      <c r="I227" s="303"/>
      <c r="J227" s="303"/>
      <c r="K227" s="303"/>
      <c r="L227" s="303"/>
      <c r="M227" s="303"/>
      <c r="N227" s="303"/>
      <c r="O227" s="303"/>
      <c r="P227" s="303"/>
      <c r="Q227" s="303"/>
      <c r="R227" s="303"/>
      <c r="S227" s="303"/>
      <c r="T227" s="303"/>
      <c r="U227" s="303"/>
      <c r="V227" s="304"/>
      <c r="W227" s="305">
        <f t="shared" si="50"/>
        <v>1</v>
      </c>
      <c r="X227" s="306">
        <f t="shared" si="51"/>
        <v>0</v>
      </c>
      <c r="Y227" s="306">
        <f t="shared" si="52"/>
        <v>0</v>
      </c>
      <c r="Z227" s="307">
        <f t="shared" si="53"/>
        <v>40</v>
      </c>
      <c r="AA227" s="291"/>
      <c r="AB227" s="201">
        <v>7</v>
      </c>
      <c r="AC227" s="63" t="str">
        <f t="shared" si="54"/>
        <v>ગરણિયા સુમિત પોપટભાઇ</v>
      </c>
      <c r="AD227" s="302" t="s">
        <v>91</v>
      </c>
      <c r="AE227" s="303"/>
      <c r="AF227" s="303"/>
      <c r="AG227" s="303"/>
      <c r="AH227" s="303"/>
      <c r="AI227" s="303"/>
      <c r="AJ227" s="303"/>
      <c r="AK227" s="303"/>
      <c r="AL227" s="303"/>
      <c r="AM227" s="303"/>
      <c r="AN227" s="303"/>
      <c r="AO227" s="303"/>
      <c r="AP227" s="303"/>
      <c r="AQ227" s="303"/>
      <c r="AR227" s="303"/>
      <c r="AS227" s="303"/>
      <c r="AT227" s="303"/>
      <c r="AU227" s="303"/>
      <c r="AV227" s="303"/>
      <c r="AW227" s="304"/>
      <c r="AX227" s="305">
        <f t="shared" si="55"/>
        <v>1</v>
      </c>
      <c r="AY227" s="306">
        <f t="shared" si="56"/>
        <v>0</v>
      </c>
      <c r="AZ227" s="306">
        <f t="shared" si="57"/>
        <v>0</v>
      </c>
      <c r="BA227" s="307">
        <f t="shared" si="58"/>
        <v>40</v>
      </c>
      <c r="BB227" s="291"/>
    </row>
    <row r="228" spans="1:54" ht="20.25" customHeight="1">
      <c r="A228" s="201">
        <v>8</v>
      </c>
      <c r="B228" s="63" t="str">
        <f t="shared" si="49"/>
        <v>ગરણિયા રામકુભાઇ સાર્દૂળભાઇ</v>
      </c>
      <c r="C228" s="302" t="s">
        <v>91</v>
      </c>
      <c r="D228" s="303"/>
      <c r="E228" s="303"/>
      <c r="F228" s="303"/>
      <c r="G228" s="303"/>
      <c r="H228" s="303"/>
      <c r="I228" s="303"/>
      <c r="J228" s="303"/>
      <c r="K228" s="303"/>
      <c r="L228" s="303"/>
      <c r="M228" s="303"/>
      <c r="N228" s="303"/>
      <c r="O228" s="303"/>
      <c r="P228" s="303"/>
      <c r="Q228" s="303"/>
      <c r="R228" s="303"/>
      <c r="S228" s="303"/>
      <c r="T228" s="303"/>
      <c r="U228" s="303"/>
      <c r="V228" s="304"/>
      <c r="W228" s="305">
        <f t="shared" si="50"/>
        <v>1</v>
      </c>
      <c r="X228" s="306">
        <f t="shared" si="51"/>
        <v>0</v>
      </c>
      <c r="Y228" s="306">
        <f t="shared" si="52"/>
        <v>0</v>
      </c>
      <c r="Z228" s="307">
        <f t="shared" si="53"/>
        <v>40</v>
      </c>
      <c r="AA228" s="291"/>
      <c r="AB228" s="201">
        <v>8</v>
      </c>
      <c r="AC228" s="63" t="str">
        <f t="shared" si="54"/>
        <v>ગરણિયા રામકુભાઇ સાર્દૂળભાઇ</v>
      </c>
      <c r="AD228" s="302" t="s">
        <v>91</v>
      </c>
      <c r="AE228" s="303"/>
      <c r="AF228" s="303"/>
      <c r="AG228" s="303"/>
      <c r="AH228" s="303"/>
      <c r="AI228" s="303"/>
      <c r="AJ228" s="303"/>
      <c r="AK228" s="303"/>
      <c r="AL228" s="303"/>
      <c r="AM228" s="303"/>
      <c r="AN228" s="303"/>
      <c r="AO228" s="303"/>
      <c r="AP228" s="303"/>
      <c r="AQ228" s="303"/>
      <c r="AR228" s="303"/>
      <c r="AS228" s="303"/>
      <c r="AT228" s="303"/>
      <c r="AU228" s="303"/>
      <c r="AV228" s="303"/>
      <c r="AW228" s="304"/>
      <c r="AX228" s="305">
        <f t="shared" si="55"/>
        <v>1</v>
      </c>
      <c r="AY228" s="306">
        <f t="shared" si="56"/>
        <v>0</v>
      </c>
      <c r="AZ228" s="306">
        <f t="shared" si="57"/>
        <v>0</v>
      </c>
      <c r="BA228" s="307">
        <f t="shared" si="58"/>
        <v>40</v>
      </c>
      <c r="BB228" s="291"/>
    </row>
    <row r="229" spans="1:54" ht="20.25" customHeight="1">
      <c r="A229" s="201">
        <v>9</v>
      </c>
      <c r="B229" s="63" t="str">
        <f t="shared" si="49"/>
        <v>ડેર હિતેષકુમાર પ્રતાપભાઇ</v>
      </c>
      <c r="C229" s="302" t="s">
        <v>91</v>
      </c>
      <c r="D229" s="303"/>
      <c r="E229" s="303"/>
      <c r="F229" s="303"/>
      <c r="G229" s="303"/>
      <c r="H229" s="303"/>
      <c r="I229" s="303"/>
      <c r="J229" s="303"/>
      <c r="K229" s="303"/>
      <c r="L229" s="303"/>
      <c r="M229" s="303"/>
      <c r="N229" s="303"/>
      <c r="O229" s="303"/>
      <c r="P229" s="303"/>
      <c r="Q229" s="303"/>
      <c r="R229" s="303"/>
      <c r="S229" s="303"/>
      <c r="T229" s="303"/>
      <c r="U229" s="303"/>
      <c r="V229" s="304"/>
      <c r="W229" s="305">
        <f t="shared" si="50"/>
        <v>1</v>
      </c>
      <c r="X229" s="306">
        <f t="shared" si="51"/>
        <v>0</v>
      </c>
      <c r="Y229" s="306">
        <f t="shared" si="52"/>
        <v>0</v>
      </c>
      <c r="Z229" s="307">
        <f t="shared" si="53"/>
        <v>40</v>
      </c>
      <c r="AA229" s="291"/>
      <c r="AB229" s="201">
        <v>9</v>
      </c>
      <c r="AC229" s="63" t="str">
        <f t="shared" si="54"/>
        <v>ડેર હિતેષકુમાર પ્રતાપભાઇ</v>
      </c>
      <c r="AD229" s="302" t="s">
        <v>91</v>
      </c>
      <c r="AE229" s="303"/>
      <c r="AF229" s="303"/>
      <c r="AG229" s="303"/>
      <c r="AH229" s="303"/>
      <c r="AI229" s="303"/>
      <c r="AJ229" s="303"/>
      <c r="AK229" s="303"/>
      <c r="AL229" s="303"/>
      <c r="AM229" s="303"/>
      <c r="AN229" s="303"/>
      <c r="AO229" s="303"/>
      <c r="AP229" s="303"/>
      <c r="AQ229" s="303"/>
      <c r="AR229" s="303"/>
      <c r="AS229" s="303"/>
      <c r="AT229" s="303"/>
      <c r="AU229" s="303"/>
      <c r="AV229" s="303"/>
      <c r="AW229" s="304"/>
      <c r="AX229" s="305">
        <f t="shared" si="55"/>
        <v>1</v>
      </c>
      <c r="AY229" s="306">
        <f t="shared" si="56"/>
        <v>0</v>
      </c>
      <c r="AZ229" s="306">
        <f t="shared" si="57"/>
        <v>0</v>
      </c>
      <c r="BA229" s="307">
        <f t="shared" si="58"/>
        <v>40</v>
      </c>
      <c r="BB229" s="291"/>
    </row>
    <row r="230" spans="1:54" ht="20.25" customHeight="1">
      <c r="A230" s="201">
        <v>10</v>
      </c>
      <c r="B230" s="63" t="str">
        <f t="shared" si="49"/>
        <v>વેકરીયા વિશાલકુમાર દિપકભાઇ</v>
      </c>
      <c r="C230" s="302" t="s">
        <v>91</v>
      </c>
      <c r="D230" s="303"/>
      <c r="E230" s="303"/>
      <c r="F230" s="303"/>
      <c r="G230" s="303"/>
      <c r="H230" s="303"/>
      <c r="I230" s="303"/>
      <c r="J230" s="303"/>
      <c r="K230" s="303"/>
      <c r="L230" s="303"/>
      <c r="M230" s="303"/>
      <c r="N230" s="303"/>
      <c r="O230" s="303"/>
      <c r="P230" s="303"/>
      <c r="Q230" s="303"/>
      <c r="R230" s="303"/>
      <c r="S230" s="303"/>
      <c r="T230" s="303"/>
      <c r="U230" s="303"/>
      <c r="V230" s="304"/>
      <c r="W230" s="305">
        <f t="shared" si="50"/>
        <v>1</v>
      </c>
      <c r="X230" s="306">
        <f t="shared" si="51"/>
        <v>0</v>
      </c>
      <c r="Y230" s="306">
        <f t="shared" si="52"/>
        <v>0</v>
      </c>
      <c r="Z230" s="307">
        <f t="shared" si="53"/>
        <v>40</v>
      </c>
      <c r="AA230" s="291"/>
      <c r="AB230" s="201">
        <v>10</v>
      </c>
      <c r="AC230" s="63" t="str">
        <f t="shared" si="54"/>
        <v>વેકરીયા વિશાલકુમાર દિપકભાઇ</v>
      </c>
      <c r="AD230" s="302" t="s">
        <v>91</v>
      </c>
      <c r="AE230" s="303"/>
      <c r="AF230" s="303"/>
      <c r="AG230" s="303"/>
      <c r="AH230" s="303"/>
      <c r="AI230" s="303"/>
      <c r="AJ230" s="303"/>
      <c r="AK230" s="303"/>
      <c r="AL230" s="303"/>
      <c r="AM230" s="303"/>
      <c r="AN230" s="303"/>
      <c r="AO230" s="303"/>
      <c r="AP230" s="303"/>
      <c r="AQ230" s="303"/>
      <c r="AR230" s="303"/>
      <c r="AS230" s="303"/>
      <c r="AT230" s="303"/>
      <c r="AU230" s="303"/>
      <c r="AV230" s="303"/>
      <c r="AW230" s="304"/>
      <c r="AX230" s="305">
        <f t="shared" si="55"/>
        <v>1</v>
      </c>
      <c r="AY230" s="306">
        <f t="shared" si="56"/>
        <v>0</v>
      </c>
      <c r="AZ230" s="306">
        <f t="shared" si="57"/>
        <v>0</v>
      </c>
      <c r="BA230" s="307">
        <f t="shared" si="58"/>
        <v>40</v>
      </c>
      <c r="BB230" s="291"/>
    </row>
    <row r="231" spans="1:54" ht="20.25" customHeight="1">
      <c r="A231" s="201">
        <v>11</v>
      </c>
      <c r="B231" s="63" t="str">
        <f t="shared" si="49"/>
        <v>માણસુરીયા મહેન્દ્રભાઇ ભૂપતભાઇ</v>
      </c>
      <c r="C231" s="302" t="s">
        <v>91</v>
      </c>
      <c r="D231" s="303"/>
      <c r="E231" s="303"/>
      <c r="F231" s="303"/>
      <c r="G231" s="303"/>
      <c r="H231" s="303"/>
      <c r="I231" s="303"/>
      <c r="J231" s="303"/>
      <c r="K231" s="303"/>
      <c r="L231" s="303"/>
      <c r="M231" s="303"/>
      <c r="N231" s="303"/>
      <c r="O231" s="303"/>
      <c r="P231" s="303"/>
      <c r="Q231" s="303"/>
      <c r="R231" s="303"/>
      <c r="S231" s="303"/>
      <c r="T231" s="303"/>
      <c r="U231" s="303"/>
      <c r="V231" s="304"/>
      <c r="W231" s="305">
        <f t="shared" si="50"/>
        <v>1</v>
      </c>
      <c r="X231" s="306">
        <f t="shared" si="51"/>
        <v>0</v>
      </c>
      <c r="Y231" s="306">
        <f t="shared" si="52"/>
        <v>0</v>
      </c>
      <c r="Z231" s="307">
        <f t="shared" si="53"/>
        <v>40</v>
      </c>
      <c r="AA231" s="291"/>
      <c r="AB231" s="201">
        <v>11</v>
      </c>
      <c r="AC231" s="63" t="str">
        <f t="shared" si="54"/>
        <v>માણસુરીયા મહેન્દ્રભાઇ ભૂપતભાઇ</v>
      </c>
      <c r="AD231" s="302" t="s">
        <v>91</v>
      </c>
      <c r="AE231" s="303"/>
      <c r="AF231" s="303"/>
      <c r="AG231" s="303"/>
      <c r="AH231" s="303"/>
      <c r="AI231" s="303"/>
      <c r="AJ231" s="303"/>
      <c r="AK231" s="303"/>
      <c r="AL231" s="303"/>
      <c r="AM231" s="303"/>
      <c r="AN231" s="303"/>
      <c r="AO231" s="303"/>
      <c r="AP231" s="303"/>
      <c r="AQ231" s="303"/>
      <c r="AR231" s="303"/>
      <c r="AS231" s="303"/>
      <c r="AT231" s="303"/>
      <c r="AU231" s="303"/>
      <c r="AV231" s="303"/>
      <c r="AW231" s="304"/>
      <c r="AX231" s="305">
        <f t="shared" si="55"/>
        <v>1</v>
      </c>
      <c r="AY231" s="306">
        <f t="shared" si="56"/>
        <v>0</v>
      </c>
      <c r="AZ231" s="306">
        <f t="shared" si="57"/>
        <v>0</v>
      </c>
      <c r="BA231" s="307">
        <f t="shared" si="58"/>
        <v>40</v>
      </c>
      <c r="BB231" s="291"/>
    </row>
    <row r="232" spans="1:54" ht="20.25" customHeight="1">
      <c r="A232" s="201">
        <v>12</v>
      </c>
      <c r="B232" s="63" t="str">
        <f t="shared" si="49"/>
        <v>પરમાર અજયકુમાર રમેશભાઇ</v>
      </c>
      <c r="C232" s="302" t="s">
        <v>91</v>
      </c>
      <c r="D232" s="303"/>
      <c r="E232" s="303"/>
      <c r="F232" s="303"/>
      <c r="G232" s="303"/>
      <c r="H232" s="303"/>
      <c r="I232" s="303"/>
      <c r="J232" s="303"/>
      <c r="K232" s="303"/>
      <c r="L232" s="303"/>
      <c r="M232" s="303"/>
      <c r="N232" s="303"/>
      <c r="O232" s="303"/>
      <c r="P232" s="303"/>
      <c r="Q232" s="303"/>
      <c r="R232" s="303"/>
      <c r="S232" s="303"/>
      <c r="T232" s="303"/>
      <c r="U232" s="303"/>
      <c r="V232" s="304"/>
      <c r="W232" s="305">
        <f t="shared" si="50"/>
        <v>1</v>
      </c>
      <c r="X232" s="306">
        <f t="shared" si="51"/>
        <v>0</v>
      </c>
      <c r="Y232" s="306">
        <f t="shared" si="52"/>
        <v>0</v>
      </c>
      <c r="Z232" s="307">
        <f t="shared" si="53"/>
        <v>40</v>
      </c>
      <c r="AA232" s="291"/>
      <c r="AB232" s="201">
        <v>12</v>
      </c>
      <c r="AC232" s="63" t="str">
        <f t="shared" si="54"/>
        <v>પરમાર અજયકુમાર રમેશભાઇ</v>
      </c>
      <c r="AD232" s="302" t="s">
        <v>91</v>
      </c>
      <c r="AE232" s="303"/>
      <c r="AF232" s="303"/>
      <c r="AG232" s="303"/>
      <c r="AH232" s="303"/>
      <c r="AI232" s="303"/>
      <c r="AJ232" s="303"/>
      <c r="AK232" s="303"/>
      <c r="AL232" s="303"/>
      <c r="AM232" s="303"/>
      <c r="AN232" s="303"/>
      <c r="AO232" s="303"/>
      <c r="AP232" s="303"/>
      <c r="AQ232" s="303"/>
      <c r="AR232" s="303"/>
      <c r="AS232" s="303"/>
      <c r="AT232" s="303"/>
      <c r="AU232" s="303"/>
      <c r="AV232" s="303"/>
      <c r="AW232" s="304"/>
      <c r="AX232" s="305">
        <f t="shared" si="55"/>
        <v>1</v>
      </c>
      <c r="AY232" s="306">
        <f t="shared" si="56"/>
        <v>0</v>
      </c>
      <c r="AZ232" s="306">
        <f t="shared" si="57"/>
        <v>0</v>
      </c>
      <c r="BA232" s="307">
        <f t="shared" si="58"/>
        <v>40</v>
      </c>
      <c r="BB232" s="291"/>
    </row>
    <row r="233" spans="1:54" ht="20.25" customHeight="1">
      <c r="A233" s="201">
        <v>13</v>
      </c>
      <c r="B233" s="63" t="str">
        <f t="shared" si="49"/>
        <v>કંડોળીયા અલ્પેશકુમાર ભરતભાઇ</v>
      </c>
      <c r="C233" s="302" t="s">
        <v>92</v>
      </c>
      <c r="D233" s="303"/>
      <c r="E233" s="303"/>
      <c r="F233" s="303"/>
      <c r="G233" s="303"/>
      <c r="H233" s="303"/>
      <c r="I233" s="303"/>
      <c r="J233" s="303"/>
      <c r="K233" s="303"/>
      <c r="L233" s="303"/>
      <c r="M233" s="303"/>
      <c r="N233" s="303"/>
      <c r="O233" s="303"/>
      <c r="P233" s="303"/>
      <c r="Q233" s="303"/>
      <c r="R233" s="303"/>
      <c r="S233" s="303"/>
      <c r="T233" s="303"/>
      <c r="U233" s="303"/>
      <c r="V233" s="304"/>
      <c r="W233" s="305">
        <f t="shared" si="50"/>
        <v>0</v>
      </c>
      <c r="X233" s="306">
        <f t="shared" si="51"/>
        <v>1</v>
      </c>
      <c r="Y233" s="306">
        <f t="shared" si="52"/>
        <v>0</v>
      </c>
      <c r="Z233" s="307">
        <f t="shared" si="53"/>
        <v>0</v>
      </c>
      <c r="AA233" s="291"/>
      <c r="AB233" s="201">
        <v>13</v>
      </c>
      <c r="AC233" s="63" t="str">
        <f t="shared" si="54"/>
        <v>કંડોળીયા અલ્પેશકુમાર ભરતભાઇ</v>
      </c>
      <c r="AD233" s="302" t="s">
        <v>92</v>
      </c>
      <c r="AE233" s="303"/>
      <c r="AF233" s="303"/>
      <c r="AG233" s="303"/>
      <c r="AH233" s="303"/>
      <c r="AI233" s="303"/>
      <c r="AJ233" s="303"/>
      <c r="AK233" s="303"/>
      <c r="AL233" s="303"/>
      <c r="AM233" s="303"/>
      <c r="AN233" s="303"/>
      <c r="AO233" s="303"/>
      <c r="AP233" s="303"/>
      <c r="AQ233" s="303"/>
      <c r="AR233" s="303"/>
      <c r="AS233" s="303"/>
      <c r="AT233" s="303"/>
      <c r="AU233" s="303"/>
      <c r="AV233" s="303"/>
      <c r="AW233" s="304"/>
      <c r="AX233" s="305">
        <f t="shared" si="55"/>
        <v>0</v>
      </c>
      <c r="AY233" s="306">
        <f t="shared" si="56"/>
        <v>1</v>
      </c>
      <c r="AZ233" s="306">
        <f t="shared" si="57"/>
        <v>0</v>
      </c>
      <c r="BA233" s="307">
        <f t="shared" si="58"/>
        <v>0</v>
      </c>
      <c r="BB233" s="291"/>
    </row>
    <row r="234" spans="1:54" ht="20.25" customHeight="1">
      <c r="A234" s="201">
        <v>14</v>
      </c>
      <c r="B234" s="63" t="str">
        <f t="shared" si="49"/>
        <v>મકવાણા તરંગકુમાર કિશોરભાઇ</v>
      </c>
      <c r="C234" s="302" t="s">
        <v>91</v>
      </c>
      <c r="D234" s="303"/>
      <c r="E234" s="303"/>
      <c r="F234" s="303"/>
      <c r="G234" s="303"/>
      <c r="H234" s="303"/>
      <c r="I234" s="303"/>
      <c r="J234" s="303"/>
      <c r="K234" s="303"/>
      <c r="L234" s="303"/>
      <c r="M234" s="303"/>
      <c r="N234" s="303"/>
      <c r="O234" s="303"/>
      <c r="P234" s="303"/>
      <c r="Q234" s="303"/>
      <c r="R234" s="303"/>
      <c r="S234" s="303"/>
      <c r="T234" s="303"/>
      <c r="U234" s="303"/>
      <c r="V234" s="304"/>
      <c r="W234" s="305">
        <f t="shared" si="50"/>
        <v>1</v>
      </c>
      <c r="X234" s="306">
        <f t="shared" si="51"/>
        <v>0</v>
      </c>
      <c r="Y234" s="306">
        <f t="shared" si="52"/>
        <v>0</v>
      </c>
      <c r="Z234" s="307">
        <f t="shared" si="53"/>
        <v>40</v>
      </c>
      <c r="AA234" s="291"/>
      <c r="AB234" s="201">
        <v>14</v>
      </c>
      <c r="AC234" s="63" t="str">
        <f t="shared" si="54"/>
        <v>મકવાણા તરંગકુમાર કિશોરભાઇ</v>
      </c>
      <c r="AD234" s="302" t="s">
        <v>91</v>
      </c>
      <c r="AE234" s="303"/>
      <c r="AF234" s="303"/>
      <c r="AG234" s="303"/>
      <c r="AH234" s="303"/>
      <c r="AI234" s="303"/>
      <c r="AJ234" s="303"/>
      <c r="AK234" s="303"/>
      <c r="AL234" s="303"/>
      <c r="AM234" s="303"/>
      <c r="AN234" s="303"/>
      <c r="AO234" s="303"/>
      <c r="AP234" s="303"/>
      <c r="AQ234" s="303"/>
      <c r="AR234" s="303"/>
      <c r="AS234" s="303"/>
      <c r="AT234" s="303"/>
      <c r="AU234" s="303"/>
      <c r="AV234" s="303"/>
      <c r="AW234" s="304"/>
      <c r="AX234" s="305">
        <f t="shared" si="55"/>
        <v>1</v>
      </c>
      <c r="AY234" s="306">
        <f t="shared" si="56"/>
        <v>0</v>
      </c>
      <c r="AZ234" s="306">
        <f t="shared" si="57"/>
        <v>0</v>
      </c>
      <c r="BA234" s="307">
        <f t="shared" si="58"/>
        <v>40</v>
      </c>
      <c r="BB234" s="291"/>
    </row>
    <row r="235" spans="1:54" ht="20.25" customHeight="1">
      <c r="A235" s="201">
        <v>15</v>
      </c>
      <c r="B235" s="63" t="str">
        <f t="shared" si="49"/>
        <v>ઢીમેચા સતીષ હનુભાઇ</v>
      </c>
      <c r="C235" s="302" t="s">
        <v>91</v>
      </c>
      <c r="D235" s="303"/>
      <c r="E235" s="303"/>
      <c r="F235" s="303"/>
      <c r="G235" s="303"/>
      <c r="H235" s="303"/>
      <c r="I235" s="303"/>
      <c r="J235" s="303"/>
      <c r="K235" s="303"/>
      <c r="L235" s="303"/>
      <c r="M235" s="303"/>
      <c r="N235" s="303"/>
      <c r="O235" s="303"/>
      <c r="P235" s="303"/>
      <c r="Q235" s="303"/>
      <c r="R235" s="303"/>
      <c r="S235" s="303"/>
      <c r="T235" s="303"/>
      <c r="U235" s="303"/>
      <c r="V235" s="304"/>
      <c r="W235" s="305">
        <f t="shared" si="50"/>
        <v>1</v>
      </c>
      <c r="X235" s="306">
        <f t="shared" si="51"/>
        <v>0</v>
      </c>
      <c r="Y235" s="306">
        <f t="shared" si="52"/>
        <v>0</v>
      </c>
      <c r="Z235" s="307">
        <f t="shared" si="53"/>
        <v>40</v>
      </c>
      <c r="AA235" s="291"/>
      <c r="AB235" s="201">
        <v>15</v>
      </c>
      <c r="AC235" s="63" t="str">
        <f t="shared" si="54"/>
        <v>ઢીમેચા સતીષ હનુભાઇ</v>
      </c>
      <c r="AD235" s="302" t="s">
        <v>91</v>
      </c>
      <c r="AE235" s="303"/>
      <c r="AF235" s="303"/>
      <c r="AG235" s="303"/>
      <c r="AH235" s="303"/>
      <c r="AI235" s="303"/>
      <c r="AJ235" s="303"/>
      <c r="AK235" s="303"/>
      <c r="AL235" s="303"/>
      <c r="AM235" s="303"/>
      <c r="AN235" s="303"/>
      <c r="AO235" s="303"/>
      <c r="AP235" s="303"/>
      <c r="AQ235" s="303"/>
      <c r="AR235" s="303"/>
      <c r="AS235" s="303"/>
      <c r="AT235" s="303"/>
      <c r="AU235" s="303"/>
      <c r="AV235" s="303"/>
      <c r="AW235" s="304"/>
      <c r="AX235" s="305">
        <f t="shared" si="55"/>
        <v>1</v>
      </c>
      <c r="AY235" s="306">
        <f t="shared" si="56"/>
        <v>0</v>
      </c>
      <c r="AZ235" s="306">
        <f t="shared" si="57"/>
        <v>0</v>
      </c>
      <c r="BA235" s="307">
        <f t="shared" si="58"/>
        <v>40</v>
      </c>
      <c r="BB235" s="291"/>
    </row>
    <row r="236" spans="1:54" ht="20.25" customHeight="1">
      <c r="A236" s="201">
        <v>16</v>
      </c>
      <c r="B236" s="63" t="str">
        <f t="shared" si="49"/>
        <v>ખુમાણ શિવરાજભાઇ બાબુભાઇ</v>
      </c>
      <c r="C236" s="302" t="s">
        <v>91</v>
      </c>
      <c r="D236" s="303"/>
      <c r="E236" s="303"/>
      <c r="F236" s="303"/>
      <c r="G236" s="303"/>
      <c r="H236" s="303"/>
      <c r="I236" s="303"/>
      <c r="J236" s="303"/>
      <c r="K236" s="303"/>
      <c r="L236" s="303"/>
      <c r="M236" s="303"/>
      <c r="N236" s="303"/>
      <c r="O236" s="303"/>
      <c r="P236" s="303"/>
      <c r="Q236" s="303"/>
      <c r="R236" s="303"/>
      <c r="S236" s="303"/>
      <c r="T236" s="303"/>
      <c r="U236" s="303"/>
      <c r="V236" s="304"/>
      <c r="W236" s="305">
        <f t="shared" si="50"/>
        <v>1</v>
      </c>
      <c r="X236" s="306">
        <f t="shared" si="51"/>
        <v>0</v>
      </c>
      <c r="Y236" s="306">
        <f t="shared" si="52"/>
        <v>0</v>
      </c>
      <c r="Z236" s="307">
        <f t="shared" si="53"/>
        <v>40</v>
      </c>
      <c r="AA236" s="291"/>
      <c r="AB236" s="201">
        <v>16</v>
      </c>
      <c r="AC236" s="63" t="str">
        <f t="shared" si="54"/>
        <v>ખુમાણ શિવરાજભાઇ બાબુભાઇ</v>
      </c>
      <c r="AD236" s="302" t="s">
        <v>91</v>
      </c>
      <c r="AE236" s="303"/>
      <c r="AF236" s="303"/>
      <c r="AG236" s="303"/>
      <c r="AH236" s="303"/>
      <c r="AI236" s="303"/>
      <c r="AJ236" s="303"/>
      <c r="AK236" s="303"/>
      <c r="AL236" s="303"/>
      <c r="AM236" s="303"/>
      <c r="AN236" s="303"/>
      <c r="AO236" s="303"/>
      <c r="AP236" s="303"/>
      <c r="AQ236" s="303"/>
      <c r="AR236" s="303"/>
      <c r="AS236" s="303"/>
      <c r="AT236" s="303"/>
      <c r="AU236" s="303"/>
      <c r="AV236" s="303"/>
      <c r="AW236" s="304"/>
      <c r="AX236" s="305">
        <f t="shared" si="55"/>
        <v>1</v>
      </c>
      <c r="AY236" s="306">
        <f t="shared" si="56"/>
        <v>0</v>
      </c>
      <c r="AZ236" s="306">
        <f t="shared" si="57"/>
        <v>0</v>
      </c>
      <c r="BA236" s="307">
        <f t="shared" si="58"/>
        <v>40</v>
      </c>
      <c r="BB236" s="291"/>
    </row>
    <row r="237" spans="1:54" ht="20.25" customHeight="1">
      <c r="A237" s="201">
        <v>17</v>
      </c>
      <c r="B237" s="63" t="str">
        <f t="shared" si="49"/>
        <v>માથાસુરીયા દિનેશભાઇ અમરાભાઇ</v>
      </c>
      <c r="C237" s="302" t="s">
        <v>91</v>
      </c>
      <c r="D237" s="303"/>
      <c r="E237" s="303"/>
      <c r="F237" s="303"/>
      <c r="G237" s="303"/>
      <c r="H237" s="303"/>
      <c r="I237" s="303"/>
      <c r="J237" s="303"/>
      <c r="K237" s="303"/>
      <c r="L237" s="303"/>
      <c r="M237" s="303"/>
      <c r="N237" s="303"/>
      <c r="O237" s="303"/>
      <c r="P237" s="303"/>
      <c r="Q237" s="303"/>
      <c r="R237" s="303"/>
      <c r="S237" s="303"/>
      <c r="T237" s="303"/>
      <c r="U237" s="303"/>
      <c r="V237" s="304"/>
      <c r="W237" s="305">
        <f t="shared" si="50"/>
        <v>1</v>
      </c>
      <c r="X237" s="306">
        <f t="shared" si="51"/>
        <v>0</v>
      </c>
      <c r="Y237" s="306">
        <f t="shared" si="52"/>
        <v>0</v>
      </c>
      <c r="Z237" s="307">
        <f t="shared" si="53"/>
        <v>40</v>
      </c>
      <c r="AA237" s="291"/>
      <c r="AB237" s="201">
        <v>17</v>
      </c>
      <c r="AC237" s="63" t="str">
        <f t="shared" si="54"/>
        <v>માથાસુરીયા દિનેશભાઇ અમરાભાઇ</v>
      </c>
      <c r="AD237" s="302" t="s">
        <v>91</v>
      </c>
      <c r="AE237" s="303"/>
      <c r="AF237" s="303"/>
      <c r="AG237" s="303"/>
      <c r="AH237" s="303"/>
      <c r="AI237" s="303"/>
      <c r="AJ237" s="303"/>
      <c r="AK237" s="303"/>
      <c r="AL237" s="303"/>
      <c r="AM237" s="303"/>
      <c r="AN237" s="303"/>
      <c r="AO237" s="303"/>
      <c r="AP237" s="303"/>
      <c r="AQ237" s="303"/>
      <c r="AR237" s="303"/>
      <c r="AS237" s="303"/>
      <c r="AT237" s="303"/>
      <c r="AU237" s="303"/>
      <c r="AV237" s="303"/>
      <c r="AW237" s="304"/>
      <c r="AX237" s="305">
        <f t="shared" si="55"/>
        <v>1</v>
      </c>
      <c r="AY237" s="306">
        <f t="shared" si="56"/>
        <v>0</v>
      </c>
      <c r="AZ237" s="306">
        <f t="shared" si="57"/>
        <v>0</v>
      </c>
      <c r="BA237" s="307">
        <f t="shared" si="58"/>
        <v>40</v>
      </c>
      <c r="BB237" s="291"/>
    </row>
    <row r="238" spans="1:54" ht="20.25" customHeight="1">
      <c r="A238" s="201">
        <v>18</v>
      </c>
      <c r="B238" s="63" t="str">
        <f t="shared" si="49"/>
        <v>વાઘેલા હરેશ જીલુભાઇ</v>
      </c>
      <c r="C238" s="302" t="s">
        <v>91</v>
      </c>
      <c r="D238" s="303"/>
      <c r="E238" s="303"/>
      <c r="F238" s="303"/>
      <c r="G238" s="303"/>
      <c r="H238" s="303"/>
      <c r="I238" s="303"/>
      <c r="J238" s="303"/>
      <c r="K238" s="303"/>
      <c r="L238" s="303"/>
      <c r="M238" s="303"/>
      <c r="N238" s="303"/>
      <c r="O238" s="303"/>
      <c r="P238" s="303"/>
      <c r="Q238" s="303"/>
      <c r="R238" s="303"/>
      <c r="S238" s="303"/>
      <c r="T238" s="303"/>
      <c r="U238" s="303"/>
      <c r="V238" s="304"/>
      <c r="W238" s="305">
        <f t="shared" si="50"/>
        <v>1</v>
      </c>
      <c r="X238" s="306">
        <f t="shared" si="51"/>
        <v>0</v>
      </c>
      <c r="Y238" s="306">
        <f t="shared" si="52"/>
        <v>0</v>
      </c>
      <c r="Z238" s="307">
        <f t="shared" si="53"/>
        <v>40</v>
      </c>
      <c r="AA238" s="291"/>
      <c r="AB238" s="201">
        <v>18</v>
      </c>
      <c r="AC238" s="63" t="str">
        <f t="shared" si="54"/>
        <v>વાઘેલા હરેશ જીલુભાઇ</v>
      </c>
      <c r="AD238" s="302" t="s">
        <v>91</v>
      </c>
      <c r="AE238" s="303"/>
      <c r="AF238" s="303"/>
      <c r="AG238" s="303"/>
      <c r="AH238" s="303"/>
      <c r="AI238" s="303"/>
      <c r="AJ238" s="303"/>
      <c r="AK238" s="303"/>
      <c r="AL238" s="303"/>
      <c r="AM238" s="303"/>
      <c r="AN238" s="303"/>
      <c r="AO238" s="303"/>
      <c r="AP238" s="303"/>
      <c r="AQ238" s="303"/>
      <c r="AR238" s="303"/>
      <c r="AS238" s="303"/>
      <c r="AT238" s="303"/>
      <c r="AU238" s="303"/>
      <c r="AV238" s="303"/>
      <c r="AW238" s="304"/>
      <c r="AX238" s="305">
        <f t="shared" si="55"/>
        <v>1</v>
      </c>
      <c r="AY238" s="306">
        <f t="shared" si="56"/>
        <v>0</v>
      </c>
      <c r="AZ238" s="306">
        <f t="shared" si="57"/>
        <v>0</v>
      </c>
      <c r="BA238" s="307">
        <f t="shared" si="58"/>
        <v>40</v>
      </c>
      <c r="BB238" s="291"/>
    </row>
    <row r="239" spans="1:54" ht="20.25" customHeight="1">
      <c r="A239" s="201">
        <v>19</v>
      </c>
      <c r="B239" s="63" t="str">
        <f t="shared" si="49"/>
        <v>પરમાર દિલીપકુમાર મધુભાઇ</v>
      </c>
      <c r="C239" s="302" t="s">
        <v>91</v>
      </c>
      <c r="D239" s="303"/>
      <c r="E239" s="303"/>
      <c r="F239" s="303"/>
      <c r="G239" s="303"/>
      <c r="H239" s="303"/>
      <c r="I239" s="303"/>
      <c r="J239" s="303"/>
      <c r="K239" s="303"/>
      <c r="L239" s="303"/>
      <c r="M239" s="303"/>
      <c r="N239" s="303"/>
      <c r="O239" s="303"/>
      <c r="P239" s="303"/>
      <c r="Q239" s="303"/>
      <c r="R239" s="303"/>
      <c r="S239" s="303"/>
      <c r="T239" s="303"/>
      <c r="U239" s="303"/>
      <c r="V239" s="304"/>
      <c r="W239" s="305">
        <f t="shared" si="50"/>
        <v>1</v>
      </c>
      <c r="X239" s="306">
        <f t="shared" si="51"/>
        <v>0</v>
      </c>
      <c r="Y239" s="306">
        <f t="shared" si="52"/>
        <v>0</v>
      </c>
      <c r="Z239" s="307">
        <f t="shared" si="53"/>
        <v>40</v>
      </c>
      <c r="AA239" s="291"/>
      <c r="AB239" s="201">
        <v>19</v>
      </c>
      <c r="AC239" s="63" t="str">
        <f t="shared" si="54"/>
        <v>પરમાર દિલીપકુમાર મધુભાઇ</v>
      </c>
      <c r="AD239" s="302" t="s">
        <v>91</v>
      </c>
      <c r="AE239" s="303"/>
      <c r="AF239" s="303"/>
      <c r="AG239" s="303"/>
      <c r="AH239" s="303"/>
      <c r="AI239" s="303"/>
      <c r="AJ239" s="303"/>
      <c r="AK239" s="303"/>
      <c r="AL239" s="303"/>
      <c r="AM239" s="303"/>
      <c r="AN239" s="303"/>
      <c r="AO239" s="303"/>
      <c r="AP239" s="303"/>
      <c r="AQ239" s="303"/>
      <c r="AR239" s="303"/>
      <c r="AS239" s="303"/>
      <c r="AT239" s="303"/>
      <c r="AU239" s="303"/>
      <c r="AV239" s="303"/>
      <c r="AW239" s="304"/>
      <c r="AX239" s="305">
        <f t="shared" si="55"/>
        <v>1</v>
      </c>
      <c r="AY239" s="306">
        <f t="shared" si="56"/>
        <v>0</v>
      </c>
      <c r="AZ239" s="306">
        <f t="shared" si="57"/>
        <v>0</v>
      </c>
      <c r="BA239" s="307">
        <f t="shared" si="58"/>
        <v>40</v>
      </c>
      <c r="BB239" s="291"/>
    </row>
    <row r="240" spans="1:54" ht="20.25" customHeight="1">
      <c r="A240" s="201">
        <v>20</v>
      </c>
      <c r="B240" s="63" t="str">
        <f t="shared" si="49"/>
        <v>વિરપરા કૃણાલ હરેશભાઇ</v>
      </c>
      <c r="C240" s="302" t="s">
        <v>91</v>
      </c>
      <c r="D240" s="303"/>
      <c r="E240" s="303"/>
      <c r="F240" s="303"/>
      <c r="G240" s="303"/>
      <c r="H240" s="303"/>
      <c r="I240" s="303"/>
      <c r="J240" s="303"/>
      <c r="K240" s="303"/>
      <c r="L240" s="303"/>
      <c r="M240" s="303"/>
      <c r="N240" s="303"/>
      <c r="O240" s="303"/>
      <c r="P240" s="303"/>
      <c r="Q240" s="303"/>
      <c r="R240" s="303"/>
      <c r="S240" s="303"/>
      <c r="T240" s="303"/>
      <c r="U240" s="303"/>
      <c r="V240" s="304"/>
      <c r="W240" s="305">
        <f t="shared" si="50"/>
        <v>1</v>
      </c>
      <c r="X240" s="306">
        <f t="shared" si="51"/>
        <v>0</v>
      </c>
      <c r="Y240" s="306">
        <f t="shared" si="52"/>
        <v>0</v>
      </c>
      <c r="Z240" s="307">
        <f t="shared" si="53"/>
        <v>40</v>
      </c>
      <c r="AA240" s="291"/>
      <c r="AB240" s="201">
        <v>20</v>
      </c>
      <c r="AC240" s="63" t="str">
        <f t="shared" si="54"/>
        <v>વિરપરા કૃણાલ હરેશભાઇ</v>
      </c>
      <c r="AD240" s="302" t="s">
        <v>91</v>
      </c>
      <c r="AE240" s="303"/>
      <c r="AF240" s="303"/>
      <c r="AG240" s="303"/>
      <c r="AH240" s="303"/>
      <c r="AI240" s="303"/>
      <c r="AJ240" s="303"/>
      <c r="AK240" s="303"/>
      <c r="AL240" s="303"/>
      <c r="AM240" s="303"/>
      <c r="AN240" s="303"/>
      <c r="AO240" s="303"/>
      <c r="AP240" s="303"/>
      <c r="AQ240" s="303"/>
      <c r="AR240" s="303"/>
      <c r="AS240" s="303"/>
      <c r="AT240" s="303"/>
      <c r="AU240" s="303"/>
      <c r="AV240" s="303"/>
      <c r="AW240" s="304"/>
      <c r="AX240" s="305">
        <f t="shared" si="55"/>
        <v>1</v>
      </c>
      <c r="AY240" s="306">
        <f t="shared" si="56"/>
        <v>0</v>
      </c>
      <c r="AZ240" s="306">
        <f t="shared" si="57"/>
        <v>0</v>
      </c>
      <c r="BA240" s="307">
        <f t="shared" si="58"/>
        <v>40</v>
      </c>
      <c r="BB240" s="291"/>
    </row>
    <row r="241" spans="1:54" ht="20.25" customHeight="1">
      <c r="A241" s="201">
        <v>21</v>
      </c>
      <c r="B241" s="63" t="str">
        <f t="shared" si="49"/>
        <v>મકરૂબિયા જીજ્ઞેશભાઇ અશોકભાઇ</v>
      </c>
      <c r="C241" s="302" t="s">
        <v>91</v>
      </c>
      <c r="D241" s="303"/>
      <c r="E241" s="303"/>
      <c r="F241" s="303"/>
      <c r="G241" s="303"/>
      <c r="H241" s="303"/>
      <c r="I241" s="303"/>
      <c r="J241" s="303"/>
      <c r="K241" s="303"/>
      <c r="L241" s="303"/>
      <c r="M241" s="303"/>
      <c r="N241" s="303"/>
      <c r="O241" s="303"/>
      <c r="P241" s="303"/>
      <c r="Q241" s="303"/>
      <c r="R241" s="303"/>
      <c r="S241" s="303"/>
      <c r="T241" s="303"/>
      <c r="U241" s="303"/>
      <c r="V241" s="304"/>
      <c r="W241" s="305">
        <f t="shared" si="50"/>
        <v>1</v>
      </c>
      <c r="X241" s="306">
        <f t="shared" si="51"/>
        <v>0</v>
      </c>
      <c r="Y241" s="306">
        <f t="shared" si="52"/>
        <v>0</v>
      </c>
      <c r="Z241" s="307">
        <f t="shared" si="53"/>
        <v>40</v>
      </c>
      <c r="AA241" s="291"/>
      <c r="AB241" s="201">
        <v>21</v>
      </c>
      <c r="AC241" s="63" t="str">
        <f t="shared" si="54"/>
        <v>મકરૂબિયા જીજ્ઞેશભાઇ અશોકભાઇ</v>
      </c>
      <c r="AD241" s="302" t="s">
        <v>91</v>
      </c>
      <c r="AE241" s="303"/>
      <c r="AF241" s="303"/>
      <c r="AG241" s="303"/>
      <c r="AH241" s="303"/>
      <c r="AI241" s="303"/>
      <c r="AJ241" s="303"/>
      <c r="AK241" s="303"/>
      <c r="AL241" s="303"/>
      <c r="AM241" s="303"/>
      <c r="AN241" s="303"/>
      <c r="AO241" s="303"/>
      <c r="AP241" s="303"/>
      <c r="AQ241" s="303"/>
      <c r="AR241" s="303"/>
      <c r="AS241" s="303"/>
      <c r="AT241" s="303"/>
      <c r="AU241" s="303"/>
      <c r="AV241" s="303"/>
      <c r="AW241" s="304"/>
      <c r="AX241" s="305">
        <f t="shared" si="55"/>
        <v>1</v>
      </c>
      <c r="AY241" s="306">
        <f t="shared" si="56"/>
        <v>0</v>
      </c>
      <c r="AZ241" s="306">
        <f t="shared" si="57"/>
        <v>0</v>
      </c>
      <c r="BA241" s="307">
        <f t="shared" si="58"/>
        <v>40</v>
      </c>
      <c r="BB241" s="291"/>
    </row>
    <row r="242" spans="1:54" ht="20.25" customHeight="1">
      <c r="A242" s="201">
        <v>22</v>
      </c>
      <c r="B242" s="63" t="str">
        <f t="shared" si="49"/>
        <v>ખિમસુરીયા જ્યોત્સના મુકેશભાઇ</v>
      </c>
      <c r="C242" s="302" t="s">
        <v>91</v>
      </c>
      <c r="D242" s="303"/>
      <c r="E242" s="303"/>
      <c r="F242" s="303"/>
      <c r="G242" s="303"/>
      <c r="H242" s="303"/>
      <c r="I242" s="303"/>
      <c r="J242" s="303"/>
      <c r="K242" s="303"/>
      <c r="L242" s="303"/>
      <c r="M242" s="303"/>
      <c r="N242" s="303"/>
      <c r="O242" s="303"/>
      <c r="P242" s="303"/>
      <c r="Q242" s="303"/>
      <c r="R242" s="303"/>
      <c r="S242" s="303"/>
      <c r="T242" s="303"/>
      <c r="U242" s="303"/>
      <c r="V242" s="304"/>
      <c r="W242" s="305">
        <f t="shared" si="50"/>
        <v>1</v>
      </c>
      <c r="X242" s="306">
        <f t="shared" si="51"/>
        <v>0</v>
      </c>
      <c r="Y242" s="306">
        <f t="shared" si="52"/>
        <v>0</v>
      </c>
      <c r="Z242" s="307">
        <f t="shared" si="53"/>
        <v>40</v>
      </c>
      <c r="AA242" s="291"/>
      <c r="AB242" s="201">
        <v>22</v>
      </c>
      <c r="AC242" s="63" t="str">
        <f t="shared" si="54"/>
        <v>ખિમસુરીયા જ્યોત્સના મુકેશભાઇ</v>
      </c>
      <c r="AD242" s="302" t="s">
        <v>91</v>
      </c>
      <c r="AE242" s="303"/>
      <c r="AF242" s="303"/>
      <c r="AG242" s="303"/>
      <c r="AH242" s="303"/>
      <c r="AI242" s="303"/>
      <c r="AJ242" s="303"/>
      <c r="AK242" s="303"/>
      <c r="AL242" s="303"/>
      <c r="AM242" s="303"/>
      <c r="AN242" s="303"/>
      <c r="AO242" s="303"/>
      <c r="AP242" s="303"/>
      <c r="AQ242" s="303"/>
      <c r="AR242" s="303"/>
      <c r="AS242" s="303"/>
      <c r="AT242" s="303"/>
      <c r="AU242" s="303"/>
      <c r="AV242" s="303"/>
      <c r="AW242" s="304"/>
      <c r="AX242" s="305">
        <f t="shared" si="55"/>
        <v>1</v>
      </c>
      <c r="AY242" s="306">
        <f t="shared" si="56"/>
        <v>0</v>
      </c>
      <c r="AZ242" s="306">
        <f t="shared" si="57"/>
        <v>0</v>
      </c>
      <c r="BA242" s="307">
        <f t="shared" si="58"/>
        <v>40</v>
      </c>
      <c r="BB242" s="291"/>
    </row>
    <row r="243" spans="1:54" ht="20.25" customHeight="1">
      <c r="A243" s="201">
        <v>23</v>
      </c>
      <c r="B243" s="63" t="str">
        <f t="shared" si="49"/>
        <v>ગરણિયા રાજલબેન સામતભાઇ</v>
      </c>
      <c r="C243" s="302" t="s">
        <v>91</v>
      </c>
      <c r="D243" s="303"/>
      <c r="E243" s="303"/>
      <c r="F243" s="303"/>
      <c r="G243" s="303"/>
      <c r="H243" s="303"/>
      <c r="I243" s="303"/>
      <c r="J243" s="303"/>
      <c r="K243" s="303"/>
      <c r="L243" s="303"/>
      <c r="M243" s="303"/>
      <c r="N243" s="303"/>
      <c r="O243" s="303"/>
      <c r="P243" s="303"/>
      <c r="Q243" s="303"/>
      <c r="R243" s="303"/>
      <c r="S243" s="303"/>
      <c r="T243" s="303"/>
      <c r="U243" s="303"/>
      <c r="V243" s="304"/>
      <c r="W243" s="305">
        <f t="shared" si="50"/>
        <v>1</v>
      </c>
      <c r="X243" s="306">
        <f t="shared" si="51"/>
        <v>0</v>
      </c>
      <c r="Y243" s="306">
        <f t="shared" si="52"/>
        <v>0</v>
      </c>
      <c r="Z243" s="307">
        <f t="shared" si="53"/>
        <v>40</v>
      </c>
      <c r="AA243" s="291"/>
      <c r="AB243" s="201">
        <v>23</v>
      </c>
      <c r="AC243" s="63" t="str">
        <f t="shared" si="54"/>
        <v>ગરણિયા રાજલબેન સામતભાઇ</v>
      </c>
      <c r="AD243" s="302" t="s">
        <v>91</v>
      </c>
      <c r="AE243" s="303"/>
      <c r="AF243" s="303"/>
      <c r="AG243" s="303"/>
      <c r="AH243" s="303"/>
      <c r="AI243" s="303"/>
      <c r="AJ243" s="303"/>
      <c r="AK243" s="303"/>
      <c r="AL243" s="303"/>
      <c r="AM243" s="303"/>
      <c r="AN243" s="303"/>
      <c r="AO243" s="303"/>
      <c r="AP243" s="303"/>
      <c r="AQ243" s="303"/>
      <c r="AR243" s="303"/>
      <c r="AS243" s="303"/>
      <c r="AT243" s="303"/>
      <c r="AU243" s="303"/>
      <c r="AV243" s="303"/>
      <c r="AW243" s="304"/>
      <c r="AX243" s="305">
        <f t="shared" si="55"/>
        <v>1</v>
      </c>
      <c r="AY243" s="306">
        <f t="shared" si="56"/>
        <v>0</v>
      </c>
      <c r="AZ243" s="306">
        <f t="shared" si="57"/>
        <v>0</v>
      </c>
      <c r="BA243" s="307">
        <f t="shared" si="58"/>
        <v>40</v>
      </c>
      <c r="BB243" s="291"/>
    </row>
    <row r="244" spans="1:54" ht="20.25" customHeight="1">
      <c r="A244" s="201">
        <v>24</v>
      </c>
      <c r="B244" s="63" t="str">
        <f t="shared" si="49"/>
        <v>ગરણિયા નિરાલીબેન પ્રદીપભાઇ</v>
      </c>
      <c r="C244" s="302" t="s">
        <v>91</v>
      </c>
      <c r="D244" s="303"/>
      <c r="E244" s="303"/>
      <c r="F244" s="303"/>
      <c r="G244" s="303"/>
      <c r="H244" s="303"/>
      <c r="I244" s="303"/>
      <c r="J244" s="303"/>
      <c r="K244" s="303"/>
      <c r="L244" s="303"/>
      <c r="M244" s="303"/>
      <c r="N244" s="303"/>
      <c r="O244" s="303"/>
      <c r="P244" s="303"/>
      <c r="Q244" s="303"/>
      <c r="R244" s="303"/>
      <c r="S244" s="303"/>
      <c r="T244" s="303"/>
      <c r="U244" s="303"/>
      <c r="V244" s="304"/>
      <c r="W244" s="305">
        <f t="shared" si="50"/>
        <v>1</v>
      </c>
      <c r="X244" s="306">
        <f t="shared" si="51"/>
        <v>0</v>
      </c>
      <c r="Y244" s="306">
        <f t="shared" si="52"/>
        <v>0</v>
      </c>
      <c r="Z244" s="307">
        <f t="shared" si="53"/>
        <v>40</v>
      </c>
      <c r="AA244" s="291"/>
      <c r="AB244" s="201">
        <v>24</v>
      </c>
      <c r="AC244" s="63" t="str">
        <f t="shared" si="54"/>
        <v>ગરણિયા નિરાલીબેન પ્રદીપભાઇ</v>
      </c>
      <c r="AD244" s="302" t="s">
        <v>91</v>
      </c>
      <c r="AE244" s="303"/>
      <c r="AF244" s="303"/>
      <c r="AG244" s="303"/>
      <c r="AH244" s="303"/>
      <c r="AI244" s="303"/>
      <c r="AJ244" s="303"/>
      <c r="AK244" s="303"/>
      <c r="AL244" s="303"/>
      <c r="AM244" s="303"/>
      <c r="AN244" s="303"/>
      <c r="AO244" s="303"/>
      <c r="AP244" s="303"/>
      <c r="AQ244" s="303"/>
      <c r="AR244" s="303"/>
      <c r="AS244" s="303"/>
      <c r="AT244" s="303"/>
      <c r="AU244" s="303"/>
      <c r="AV244" s="303"/>
      <c r="AW244" s="304"/>
      <c r="AX244" s="305">
        <f t="shared" si="55"/>
        <v>1</v>
      </c>
      <c r="AY244" s="306">
        <f t="shared" si="56"/>
        <v>0</v>
      </c>
      <c r="AZ244" s="306">
        <f t="shared" si="57"/>
        <v>0</v>
      </c>
      <c r="BA244" s="307">
        <f t="shared" si="58"/>
        <v>40</v>
      </c>
      <c r="BB244" s="291"/>
    </row>
    <row r="245" spans="1:54" ht="20.25" customHeight="1">
      <c r="A245" s="201">
        <v>25</v>
      </c>
      <c r="B245" s="63" t="str">
        <f t="shared" si="49"/>
        <v>ગરણિયા રાધાબેન લક્ષ્મણભાઇ</v>
      </c>
      <c r="C245" s="302" t="s">
        <v>91</v>
      </c>
      <c r="D245" s="303"/>
      <c r="E245" s="303"/>
      <c r="F245" s="303"/>
      <c r="G245" s="303"/>
      <c r="H245" s="303"/>
      <c r="I245" s="303"/>
      <c r="J245" s="303"/>
      <c r="K245" s="303"/>
      <c r="L245" s="303"/>
      <c r="M245" s="303"/>
      <c r="N245" s="303"/>
      <c r="O245" s="303"/>
      <c r="P245" s="303"/>
      <c r="Q245" s="303"/>
      <c r="R245" s="303"/>
      <c r="S245" s="303"/>
      <c r="T245" s="303"/>
      <c r="U245" s="303"/>
      <c r="V245" s="304"/>
      <c r="W245" s="305">
        <f t="shared" si="50"/>
        <v>1</v>
      </c>
      <c r="X245" s="306">
        <f t="shared" si="51"/>
        <v>0</v>
      </c>
      <c r="Y245" s="306">
        <f t="shared" si="52"/>
        <v>0</v>
      </c>
      <c r="Z245" s="307">
        <f t="shared" si="53"/>
        <v>40</v>
      </c>
      <c r="AA245" s="291"/>
      <c r="AB245" s="201">
        <v>25</v>
      </c>
      <c r="AC245" s="63" t="str">
        <f t="shared" si="54"/>
        <v>ગરણિયા રાધાબેન લક્ષ્મણભાઇ</v>
      </c>
      <c r="AD245" s="302" t="s">
        <v>91</v>
      </c>
      <c r="AE245" s="303"/>
      <c r="AF245" s="303"/>
      <c r="AG245" s="303"/>
      <c r="AH245" s="303"/>
      <c r="AI245" s="303"/>
      <c r="AJ245" s="303"/>
      <c r="AK245" s="303"/>
      <c r="AL245" s="303"/>
      <c r="AM245" s="303"/>
      <c r="AN245" s="303"/>
      <c r="AO245" s="303"/>
      <c r="AP245" s="303"/>
      <c r="AQ245" s="303"/>
      <c r="AR245" s="303"/>
      <c r="AS245" s="303"/>
      <c r="AT245" s="303"/>
      <c r="AU245" s="303"/>
      <c r="AV245" s="303"/>
      <c r="AW245" s="304"/>
      <c r="AX245" s="305">
        <f t="shared" si="55"/>
        <v>1</v>
      </c>
      <c r="AY245" s="306">
        <f t="shared" si="56"/>
        <v>0</v>
      </c>
      <c r="AZ245" s="306">
        <f t="shared" si="57"/>
        <v>0</v>
      </c>
      <c r="BA245" s="307">
        <f t="shared" si="58"/>
        <v>40</v>
      </c>
      <c r="BB245" s="291"/>
    </row>
    <row r="246" spans="1:54" ht="20.25" customHeight="1">
      <c r="A246" s="201">
        <v>26</v>
      </c>
      <c r="B246" s="63" t="str">
        <f t="shared" si="49"/>
        <v>ગૌસ્વામિ મયુરીબેન રમેશગીરી</v>
      </c>
      <c r="C246" s="302" t="s">
        <v>91</v>
      </c>
      <c r="D246" s="303"/>
      <c r="E246" s="303"/>
      <c r="F246" s="303"/>
      <c r="G246" s="303"/>
      <c r="H246" s="303"/>
      <c r="I246" s="303"/>
      <c r="J246" s="303"/>
      <c r="K246" s="303"/>
      <c r="L246" s="303"/>
      <c r="M246" s="303"/>
      <c r="N246" s="303"/>
      <c r="O246" s="303"/>
      <c r="P246" s="303"/>
      <c r="Q246" s="303"/>
      <c r="R246" s="303"/>
      <c r="S246" s="303"/>
      <c r="T246" s="303"/>
      <c r="U246" s="303"/>
      <c r="V246" s="304"/>
      <c r="W246" s="305">
        <f t="shared" si="50"/>
        <v>1</v>
      </c>
      <c r="X246" s="306">
        <f t="shared" si="51"/>
        <v>0</v>
      </c>
      <c r="Y246" s="306">
        <f t="shared" si="52"/>
        <v>0</v>
      </c>
      <c r="Z246" s="307">
        <f t="shared" si="53"/>
        <v>40</v>
      </c>
      <c r="AA246" s="291"/>
      <c r="AB246" s="201">
        <v>26</v>
      </c>
      <c r="AC246" s="63" t="str">
        <f t="shared" si="54"/>
        <v>ગૌસ્વામિ મયુરીબેન રમેશગીરી</v>
      </c>
      <c r="AD246" s="302" t="s">
        <v>91</v>
      </c>
      <c r="AE246" s="303"/>
      <c r="AF246" s="303"/>
      <c r="AG246" s="303"/>
      <c r="AH246" s="303"/>
      <c r="AI246" s="303"/>
      <c r="AJ246" s="303"/>
      <c r="AK246" s="303"/>
      <c r="AL246" s="303"/>
      <c r="AM246" s="303"/>
      <c r="AN246" s="303"/>
      <c r="AO246" s="303"/>
      <c r="AP246" s="303"/>
      <c r="AQ246" s="303"/>
      <c r="AR246" s="303"/>
      <c r="AS246" s="303"/>
      <c r="AT246" s="303"/>
      <c r="AU246" s="303"/>
      <c r="AV246" s="303"/>
      <c r="AW246" s="304"/>
      <c r="AX246" s="305">
        <f t="shared" si="55"/>
        <v>1</v>
      </c>
      <c r="AY246" s="306">
        <f t="shared" si="56"/>
        <v>0</v>
      </c>
      <c r="AZ246" s="306">
        <f t="shared" si="57"/>
        <v>0</v>
      </c>
      <c r="BA246" s="307">
        <f t="shared" si="58"/>
        <v>40</v>
      </c>
      <c r="BB246" s="291"/>
    </row>
    <row r="247" spans="1:54" ht="20.25" customHeight="1">
      <c r="A247" s="201">
        <v>27</v>
      </c>
      <c r="B247" s="63" t="str">
        <f t="shared" si="49"/>
        <v>બતાડા જાનકી વાલાભાઇ</v>
      </c>
      <c r="C247" s="302" t="s">
        <v>91</v>
      </c>
      <c r="D247" s="303"/>
      <c r="E247" s="303"/>
      <c r="F247" s="303"/>
      <c r="G247" s="303"/>
      <c r="H247" s="303"/>
      <c r="I247" s="303"/>
      <c r="J247" s="303"/>
      <c r="K247" s="303"/>
      <c r="L247" s="303"/>
      <c r="M247" s="303"/>
      <c r="N247" s="303"/>
      <c r="O247" s="303"/>
      <c r="P247" s="303"/>
      <c r="Q247" s="303"/>
      <c r="R247" s="303"/>
      <c r="S247" s="303"/>
      <c r="T247" s="303"/>
      <c r="U247" s="303"/>
      <c r="V247" s="304"/>
      <c r="W247" s="305">
        <f t="shared" si="50"/>
        <v>1</v>
      </c>
      <c r="X247" s="306">
        <f t="shared" si="51"/>
        <v>0</v>
      </c>
      <c r="Y247" s="306">
        <f t="shared" si="52"/>
        <v>0</v>
      </c>
      <c r="Z247" s="307">
        <f t="shared" si="53"/>
        <v>40</v>
      </c>
      <c r="AA247" s="291"/>
      <c r="AB247" s="201">
        <v>27</v>
      </c>
      <c r="AC247" s="63" t="str">
        <f t="shared" si="54"/>
        <v>બતાડા જાનકી વાલાભાઇ</v>
      </c>
      <c r="AD247" s="302" t="s">
        <v>91</v>
      </c>
      <c r="AE247" s="303"/>
      <c r="AF247" s="303"/>
      <c r="AG247" s="303"/>
      <c r="AH247" s="303"/>
      <c r="AI247" s="303"/>
      <c r="AJ247" s="303"/>
      <c r="AK247" s="303"/>
      <c r="AL247" s="303"/>
      <c r="AM247" s="303"/>
      <c r="AN247" s="303"/>
      <c r="AO247" s="303"/>
      <c r="AP247" s="303"/>
      <c r="AQ247" s="303"/>
      <c r="AR247" s="303"/>
      <c r="AS247" s="303"/>
      <c r="AT247" s="303"/>
      <c r="AU247" s="303"/>
      <c r="AV247" s="303"/>
      <c r="AW247" s="304"/>
      <c r="AX247" s="305">
        <f t="shared" si="55"/>
        <v>1</v>
      </c>
      <c r="AY247" s="306">
        <f t="shared" si="56"/>
        <v>0</v>
      </c>
      <c r="AZ247" s="306">
        <f t="shared" si="57"/>
        <v>0</v>
      </c>
      <c r="BA247" s="307">
        <f t="shared" si="58"/>
        <v>40</v>
      </c>
      <c r="BB247" s="291"/>
    </row>
    <row r="248" spans="1:54" ht="20.25" customHeight="1">
      <c r="A248" s="201">
        <v>28</v>
      </c>
      <c r="B248" s="63" t="str">
        <f t="shared" si="49"/>
        <v>બતાડા ક્રિષ્નાબેન દેવશીભાઇ</v>
      </c>
      <c r="C248" s="302" t="s">
        <v>91</v>
      </c>
      <c r="D248" s="303"/>
      <c r="E248" s="303"/>
      <c r="F248" s="303"/>
      <c r="G248" s="303"/>
      <c r="H248" s="303"/>
      <c r="I248" s="303"/>
      <c r="J248" s="303"/>
      <c r="K248" s="303"/>
      <c r="L248" s="303"/>
      <c r="M248" s="303"/>
      <c r="N248" s="303"/>
      <c r="O248" s="303"/>
      <c r="P248" s="303"/>
      <c r="Q248" s="303"/>
      <c r="R248" s="303"/>
      <c r="S248" s="303"/>
      <c r="T248" s="303"/>
      <c r="U248" s="303"/>
      <c r="V248" s="304"/>
      <c r="W248" s="305">
        <f t="shared" si="50"/>
        <v>1</v>
      </c>
      <c r="X248" s="306">
        <f t="shared" si="51"/>
        <v>0</v>
      </c>
      <c r="Y248" s="306">
        <f t="shared" si="52"/>
        <v>0</v>
      </c>
      <c r="Z248" s="307">
        <f t="shared" si="53"/>
        <v>40</v>
      </c>
      <c r="AA248" s="291"/>
      <c r="AB248" s="201">
        <v>28</v>
      </c>
      <c r="AC248" s="63" t="str">
        <f t="shared" si="54"/>
        <v>બતાડા ક્રિષ્નાબેન દેવશીભાઇ</v>
      </c>
      <c r="AD248" s="302" t="s">
        <v>91</v>
      </c>
      <c r="AE248" s="303"/>
      <c r="AF248" s="303"/>
      <c r="AG248" s="303"/>
      <c r="AH248" s="303"/>
      <c r="AI248" s="303"/>
      <c r="AJ248" s="303"/>
      <c r="AK248" s="303"/>
      <c r="AL248" s="303"/>
      <c r="AM248" s="303"/>
      <c r="AN248" s="303"/>
      <c r="AO248" s="303"/>
      <c r="AP248" s="303"/>
      <c r="AQ248" s="303"/>
      <c r="AR248" s="303"/>
      <c r="AS248" s="303"/>
      <c r="AT248" s="303"/>
      <c r="AU248" s="303"/>
      <c r="AV248" s="303"/>
      <c r="AW248" s="304"/>
      <c r="AX248" s="305">
        <f t="shared" si="55"/>
        <v>1</v>
      </c>
      <c r="AY248" s="306">
        <f t="shared" si="56"/>
        <v>0</v>
      </c>
      <c r="AZ248" s="306">
        <f t="shared" si="57"/>
        <v>0</v>
      </c>
      <c r="BA248" s="307">
        <f t="shared" si="58"/>
        <v>40</v>
      </c>
      <c r="BB248" s="291"/>
    </row>
    <row r="249" spans="1:54" ht="20.25" customHeight="1">
      <c r="A249" s="201">
        <v>29</v>
      </c>
      <c r="B249" s="63" t="str">
        <f t="shared" si="49"/>
        <v>પરમાર અનિષા રમેશભાઇ</v>
      </c>
      <c r="C249" s="302" t="s">
        <v>91</v>
      </c>
      <c r="D249" s="303"/>
      <c r="E249" s="303"/>
      <c r="F249" s="303"/>
      <c r="G249" s="303"/>
      <c r="H249" s="303"/>
      <c r="I249" s="303"/>
      <c r="J249" s="303"/>
      <c r="K249" s="303"/>
      <c r="L249" s="303"/>
      <c r="M249" s="303"/>
      <c r="N249" s="303"/>
      <c r="O249" s="303"/>
      <c r="P249" s="303"/>
      <c r="Q249" s="303"/>
      <c r="R249" s="303"/>
      <c r="S249" s="303"/>
      <c r="T249" s="303"/>
      <c r="U249" s="303"/>
      <c r="V249" s="304"/>
      <c r="W249" s="305">
        <f t="shared" si="50"/>
        <v>1</v>
      </c>
      <c r="X249" s="306">
        <f t="shared" si="51"/>
        <v>0</v>
      </c>
      <c r="Y249" s="306">
        <f t="shared" si="52"/>
        <v>0</v>
      </c>
      <c r="Z249" s="307">
        <f t="shared" si="53"/>
        <v>40</v>
      </c>
      <c r="AA249" s="291"/>
      <c r="AB249" s="201">
        <v>29</v>
      </c>
      <c r="AC249" s="63" t="str">
        <f t="shared" si="54"/>
        <v>પરમાર અનિષા રમેશભાઇ</v>
      </c>
      <c r="AD249" s="302" t="s">
        <v>91</v>
      </c>
      <c r="AE249" s="303"/>
      <c r="AF249" s="303"/>
      <c r="AG249" s="303"/>
      <c r="AH249" s="303"/>
      <c r="AI249" s="303"/>
      <c r="AJ249" s="303"/>
      <c r="AK249" s="303"/>
      <c r="AL249" s="303"/>
      <c r="AM249" s="303"/>
      <c r="AN249" s="303"/>
      <c r="AO249" s="303"/>
      <c r="AP249" s="303"/>
      <c r="AQ249" s="303"/>
      <c r="AR249" s="303"/>
      <c r="AS249" s="303"/>
      <c r="AT249" s="303"/>
      <c r="AU249" s="303"/>
      <c r="AV249" s="303"/>
      <c r="AW249" s="304"/>
      <c r="AX249" s="305">
        <f t="shared" si="55"/>
        <v>1</v>
      </c>
      <c r="AY249" s="306">
        <f t="shared" si="56"/>
        <v>0</v>
      </c>
      <c r="AZ249" s="306">
        <f t="shared" si="57"/>
        <v>0</v>
      </c>
      <c r="BA249" s="307">
        <f t="shared" si="58"/>
        <v>40</v>
      </c>
      <c r="BB249" s="291"/>
    </row>
    <row r="250" spans="1:54" ht="20.25" customHeight="1">
      <c r="A250" s="201">
        <v>30</v>
      </c>
      <c r="B250" s="63" t="str">
        <f t="shared" si="49"/>
        <v>મકરૂબિયા નમ્રતા વશરામભાઇ</v>
      </c>
      <c r="C250" s="302" t="s">
        <v>91</v>
      </c>
      <c r="D250" s="303"/>
      <c r="E250" s="303"/>
      <c r="F250" s="303"/>
      <c r="G250" s="303"/>
      <c r="H250" s="303"/>
      <c r="I250" s="303"/>
      <c r="J250" s="303"/>
      <c r="K250" s="303"/>
      <c r="L250" s="303"/>
      <c r="M250" s="303"/>
      <c r="N250" s="303"/>
      <c r="O250" s="303"/>
      <c r="P250" s="303"/>
      <c r="Q250" s="303"/>
      <c r="R250" s="303"/>
      <c r="S250" s="303"/>
      <c r="T250" s="303"/>
      <c r="U250" s="303"/>
      <c r="V250" s="304"/>
      <c r="W250" s="305">
        <f t="shared" si="50"/>
        <v>1</v>
      </c>
      <c r="X250" s="306">
        <f t="shared" si="51"/>
        <v>0</v>
      </c>
      <c r="Y250" s="306">
        <f t="shared" si="52"/>
        <v>0</v>
      </c>
      <c r="Z250" s="307">
        <f t="shared" si="53"/>
        <v>40</v>
      </c>
      <c r="AA250" s="291"/>
      <c r="AB250" s="201">
        <v>30</v>
      </c>
      <c r="AC250" s="63" t="str">
        <f t="shared" si="54"/>
        <v>મકરૂબિયા નમ્રતા વશરામભાઇ</v>
      </c>
      <c r="AD250" s="302" t="s">
        <v>91</v>
      </c>
      <c r="AE250" s="303"/>
      <c r="AF250" s="303"/>
      <c r="AG250" s="303"/>
      <c r="AH250" s="303"/>
      <c r="AI250" s="303"/>
      <c r="AJ250" s="303"/>
      <c r="AK250" s="303"/>
      <c r="AL250" s="303"/>
      <c r="AM250" s="303"/>
      <c r="AN250" s="303"/>
      <c r="AO250" s="303"/>
      <c r="AP250" s="303"/>
      <c r="AQ250" s="303"/>
      <c r="AR250" s="303"/>
      <c r="AS250" s="303"/>
      <c r="AT250" s="303"/>
      <c r="AU250" s="303"/>
      <c r="AV250" s="303"/>
      <c r="AW250" s="304"/>
      <c r="AX250" s="305">
        <f t="shared" si="55"/>
        <v>1</v>
      </c>
      <c r="AY250" s="306">
        <f t="shared" si="56"/>
        <v>0</v>
      </c>
      <c r="AZ250" s="306">
        <f t="shared" si="57"/>
        <v>0</v>
      </c>
      <c r="BA250" s="307">
        <f t="shared" si="58"/>
        <v>40</v>
      </c>
      <c r="BB250" s="291"/>
    </row>
    <row r="251" spans="1:54" ht="20.25" customHeight="1">
      <c r="A251" s="201">
        <v>31</v>
      </c>
      <c r="B251" s="63">
        <f t="shared" si="49"/>
        <v>0</v>
      </c>
      <c r="C251" s="302"/>
      <c r="D251" s="303"/>
      <c r="E251" s="303"/>
      <c r="F251" s="303"/>
      <c r="G251" s="303"/>
      <c r="H251" s="303"/>
      <c r="I251" s="303"/>
      <c r="J251" s="303"/>
      <c r="K251" s="303"/>
      <c r="L251" s="303"/>
      <c r="M251" s="303"/>
      <c r="N251" s="303"/>
      <c r="O251" s="303"/>
      <c r="P251" s="303"/>
      <c r="Q251" s="303"/>
      <c r="R251" s="303"/>
      <c r="S251" s="303"/>
      <c r="T251" s="303"/>
      <c r="U251" s="303"/>
      <c r="V251" s="304"/>
      <c r="W251" s="305">
        <f t="shared" si="50"/>
        <v>0</v>
      </c>
      <c r="X251" s="306">
        <f t="shared" si="51"/>
        <v>0</v>
      </c>
      <c r="Y251" s="306">
        <f t="shared" si="52"/>
        <v>0</v>
      </c>
      <c r="Z251" s="307">
        <f t="shared" si="53"/>
        <v>0</v>
      </c>
      <c r="AA251" s="291"/>
      <c r="AB251" s="201">
        <v>31</v>
      </c>
      <c r="AC251" s="63">
        <f t="shared" si="54"/>
        <v>0</v>
      </c>
      <c r="AD251" s="302"/>
      <c r="AE251" s="303"/>
      <c r="AF251" s="303"/>
      <c r="AG251" s="303"/>
      <c r="AH251" s="303"/>
      <c r="AI251" s="303"/>
      <c r="AJ251" s="303"/>
      <c r="AK251" s="303"/>
      <c r="AL251" s="303"/>
      <c r="AM251" s="303"/>
      <c r="AN251" s="303"/>
      <c r="AO251" s="303"/>
      <c r="AP251" s="303"/>
      <c r="AQ251" s="303"/>
      <c r="AR251" s="303"/>
      <c r="AS251" s="303"/>
      <c r="AT251" s="303"/>
      <c r="AU251" s="303"/>
      <c r="AV251" s="303"/>
      <c r="AW251" s="304"/>
      <c r="AX251" s="305">
        <f t="shared" si="55"/>
        <v>0</v>
      </c>
      <c r="AY251" s="306">
        <f t="shared" si="56"/>
        <v>0</v>
      </c>
      <c r="AZ251" s="306">
        <f t="shared" si="57"/>
        <v>0</v>
      </c>
      <c r="BA251" s="307">
        <f t="shared" si="58"/>
        <v>0</v>
      </c>
      <c r="BB251" s="291"/>
    </row>
    <row r="252" spans="1:54" ht="20.25" customHeight="1">
      <c r="A252" s="201">
        <v>32</v>
      </c>
      <c r="B252" s="63">
        <f t="shared" si="49"/>
        <v>0</v>
      </c>
      <c r="C252" s="302"/>
      <c r="D252" s="303"/>
      <c r="E252" s="303"/>
      <c r="F252" s="303"/>
      <c r="G252" s="303"/>
      <c r="H252" s="303"/>
      <c r="I252" s="303"/>
      <c r="J252" s="303"/>
      <c r="K252" s="303"/>
      <c r="L252" s="303"/>
      <c r="M252" s="303"/>
      <c r="N252" s="303"/>
      <c r="O252" s="303"/>
      <c r="P252" s="303"/>
      <c r="Q252" s="303"/>
      <c r="R252" s="303"/>
      <c r="S252" s="303"/>
      <c r="T252" s="303"/>
      <c r="U252" s="303"/>
      <c r="V252" s="304"/>
      <c r="W252" s="305">
        <f t="shared" si="50"/>
        <v>0</v>
      </c>
      <c r="X252" s="306">
        <f t="shared" si="51"/>
        <v>0</v>
      </c>
      <c r="Y252" s="306">
        <f t="shared" si="52"/>
        <v>0</v>
      </c>
      <c r="Z252" s="307">
        <f t="shared" si="53"/>
        <v>0</v>
      </c>
      <c r="AA252" s="291"/>
      <c r="AB252" s="201">
        <v>32</v>
      </c>
      <c r="AC252" s="63">
        <f t="shared" si="54"/>
        <v>0</v>
      </c>
      <c r="AD252" s="302"/>
      <c r="AE252" s="303"/>
      <c r="AF252" s="303"/>
      <c r="AG252" s="303"/>
      <c r="AH252" s="303"/>
      <c r="AI252" s="303"/>
      <c r="AJ252" s="303"/>
      <c r="AK252" s="303"/>
      <c r="AL252" s="303"/>
      <c r="AM252" s="303"/>
      <c r="AN252" s="303"/>
      <c r="AO252" s="303"/>
      <c r="AP252" s="303"/>
      <c r="AQ252" s="303"/>
      <c r="AR252" s="303"/>
      <c r="AS252" s="303"/>
      <c r="AT252" s="303"/>
      <c r="AU252" s="303"/>
      <c r="AV252" s="303"/>
      <c r="AW252" s="304"/>
      <c r="AX252" s="305">
        <f t="shared" si="55"/>
        <v>0</v>
      </c>
      <c r="AY252" s="306">
        <f t="shared" si="56"/>
        <v>0</v>
      </c>
      <c r="AZ252" s="306">
        <f t="shared" si="57"/>
        <v>0</v>
      </c>
      <c r="BA252" s="307">
        <f t="shared" si="58"/>
        <v>0</v>
      </c>
      <c r="BB252" s="291"/>
    </row>
    <row r="253" spans="1:54" ht="20.25" customHeight="1">
      <c r="A253" s="201">
        <v>33</v>
      </c>
      <c r="B253" s="63">
        <f t="shared" si="49"/>
        <v>0</v>
      </c>
      <c r="C253" s="302"/>
      <c r="D253" s="303"/>
      <c r="E253" s="303"/>
      <c r="F253" s="303"/>
      <c r="G253" s="303"/>
      <c r="H253" s="303"/>
      <c r="I253" s="303"/>
      <c r="J253" s="303"/>
      <c r="K253" s="303"/>
      <c r="L253" s="303"/>
      <c r="M253" s="303"/>
      <c r="N253" s="303"/>
      <c r="O253" s="303"/>
      <c r="P253" s="303"/>
      <c r="Q253" s="303"/>
      <c r="R253" s="303"/>
      <c r="S253" s="303"/>
      <c r="T253" s="303"/>
      <c r="U253" s="303"/>
      <c r="V253" s="304"/>
      <c r="W253" s="305">
        <f t="shared" si="50"/>
        <v>0</v>
      </c>
      <c r="X253" s="306">
        <f t="shared" si="51"/>
        <v>0</v>
      </c>
      <c r="Y253" s="306">
        <f t="shared" si="52"/>
        <v>0</v>
      </c>
      <c r="Z253" s="307">
        <f t="shared" si="53"/>
        <v>0</v>
      </c>
      <c r="AA253" s="291"/>
      <c r="AB253" s="201">
        <v>33</v>
      </c>
      <c r="AC253" s="63">
        <f t="shared" si="54"/>
        <v>0</v>
      </c>
      <c r="AD253" s="302"/>
      <c r="AE253" s="303"/>
      <c r="AF253" s="303"/>
      <c r="AG253" s="303"/>
      <c r="AH253" s="303"/>
      <c r="AI253" s="303"/>
      <c r="AJ253" s="303"/>
      <c r="AK253" s="303"/>
      <c r="AL253" s="303"/>
      <c r="AM253" s="303"/>
      <c r="AN253" s="303"/>
      <c r="AO253" s="303"/>
      <c r="AP253" s="303"/>
      <c r="AQ253" s="303"/>
      <c r="AR253" s="303"/>
      <c r="AS253" s="303"/>
      <c r="AT253" s="303"/>
      <c r="AU253" s="303"/>
      <c r="AV253" s="303"/>
      <c r="AW253" s="304"/>
      <c r="AX253" s="305">
        <f t="shared" si="55"/>
        <v>0</v>
      </c>
      <c r="AY253" s="306">
        <f t="shared" si="56"/>
        <v>0</v>
      </c>
      <c r="AZ253" s="306">
        <f t="shared" si="57"/>
        <v>0</v>
      </c>
      <c r="BA253" s="307">
        <f t="shared" si="58"/>
        <v>0</v>
      </c>
      <c r="BB253" s="291"/>
    </row>
    <row r="254" spans="1:54" ht="20.25" customHeight="1">
      <c r="A254" s="201">
        <v>34</v>
      </c>
      <c r="B254" s="63">
        <f t="shared" si="49"/>
        <v>0</v>
      </c>
      <c r="C254" s="302"/>
      <c r="D254" s="303"/>
      <c r="E254" s="303"/>
      <c r="F254" s="303"/>
      <c r="G254" s="303"/>
      <c r="H254" s="303"/>
      <c r="I254" s="303"/>
      <c r="J254" s="303"/>
      <c r="K254" s="303"/>
      <c r="L254" s="303"/>
      <c r="M254" s="303"/>
      <c r="N254" s="303"/>
      <c r="O254" s="303"/>
      <c r="P254" s="303"/>
      <c r="Q254" s="303"/>
      <c r="R254" s="303"/>
      <c r="S254" s="303"/>
      <c r="T254" s="303"/>
      <c r="U254" s="303"/>
      <c r="V254" s="304"/>
      <c r="W254" s="305">
        <f t="shared" si="50"/>
        <v>0</v>
      </c>
      <c r="X254" s="306">
        <f t="shared" si="51"/>
        <v>0</v>
      </c>
      <c r="Y254" s="306">
        <f t="shared" si="52"/>
        <v>0</v>
      </c>
      <c r="Z254" s="307">
        <f t="shared" si="53"/>
        <v>0</v>
      </c>
      <c r="AA254" s="291"/>
      <c r="AB254" s="201">
        <v>34</v>
      </c>
      <c r="AC254" s="63">
        <f t="shared" si="54"/>
        <v>0</v>
      </c>
      <c r="AD254" s="302"/>
      <c r="AE254" s="303"/>
      <c r="AF254" s="303"/>
      <c r="AG254" s="303"/>
      <c r="AH254" s="303"/>
      <c r="AI254" s="303"/>
      <c r="AJ254" s="303"/>
      <c r="AK254" s="303"/>
      <c r="AL254" s="303"/>
      <c r="AM254" s="303"/>
      <c r="AN254" s="303"/>
      <c r="AO254" s="303"/>
      <c r="AP254" s="303"/>
      <c r="AQ254" s="303"/>
      <c r="AR254" s="303"/>
      <c r="AS254" s="303"/>
      <c r="AT254" s="303"/>
      <c r="AU254" s="303"/>
      <c r="AV254" s="303"/>
      <c r="AW254" s="304"/>
      <c r="AX254" s="305">
        <f t="shared" si="55"/>
        <v>0</v>
      </c>
      <c r="AY254" s="306">
        <f t="shared" si="56"/>
        <v>0</v>
      </c>
      <c r="AZ254" s="306">
        <f t="shared" si="57"/>
        <v>0</v>
      </c>
      <c r="BA254" s="307">
        <f t="shared" si="58"/>
        <v>0</v>
      </c>
      <c r="BB254" s="291"/>
    </row>
    <row r="255" spans="1:54" ht="20.25" customHeight="1">
      <c r="A255" s="201">
        <v>35</v>
      </c>
      <c r="B255" s="64">
        <f t="shared" si="49"/>
        <v>0</v>
      </c>
      <c r="C255" s="308"/>
      <c r="D255" s="309"/>
      <c r="E255" s="309"/>
      <c r="F255" s="309"/>
      <c r="G255" s="309"/>
      <c r="H255" s="309"/>
      <c r="I255" s="309"/>
      <c r="J255" s="309"/>
      <c r="K255" s="309"/>
      <c r="L255" s="309"/>
      <c r="M255" s="309"/>
      <c r="N255" s="309"/>
      <c r="O255" s="309"/>
      <c r="P255" s="309"/>
      <c r="Q255" s="309"/>
      <c r="R255" s="309"/>
      <c r="S255" s="309"/>
      <c r="T255" s="309"/>
      <c r="U255" s="309"/>
      <c r="V255" s="310"/>
      <c r="W255" s="311">
        <f t="shared" si="50"/>
        <v>0</v>
      </c>
      <c r="X255" s="312">
        <f t="shared" si="51"/>
        <v>0</v>
      </c>
      <c r="Y255" s="312">
        <f t="shared" si="52"/>
        <v>0</v>
      </c>
      <c r="Z255" s="313">
        <f t="shared" si="53"/>
        <v>0</v>
      </c>
      <c r="AA255" s="291"/>
      <c r="AB255" s="201">
        <v>35</v>
      </c>
      <c r="AC255" s="64">
        <f t="shared" si="54"/>
        <v>0</v>
      </c>
      <c r="AD255" s="308"/>
      <c r="AE255" s="309"/>
      <c r="AF255" s="309"/>
      <c r="AG255" s="309"/>
      <c r="AH255" s="309"/>
      <c r="AI255" s="309"/>
      <c r="AJ255" s="309"/>
      <c r="AK255" s="309"/>
      <c r="AL255" s="309"/>
      <c r="AM255" s="309"/>
      <c r="AN255" s="309"/>
      <c r="AO255" s="309"/>
      <c r="AP255" s="309"/>
      <c r="AQ255" s="309"/>
      <c r="AR255" s="309"/>
      <c r="AS255" s="309"/>
      <c r="AT255" s="309"/>
      <c r="AU255" s="309"/>
      <c r="AV255" s="309"/>
      <c r="AW255" s="310"/>
      <c r="AX255" s="311">
        <f t="shared" si="55"/>
        <v>0</v>
      </c>
      <c r="AY255" s="312">
        <f t="shared" si="56"/>
        <v>0</v>
      </c>
      <c r="AZ255" s="312">
        <f t="shared" si="57"/>
        <v>0</v>
      </c>
      <c r="BA255" s="313">
        <f t="shared" si="58"/>
        <v>0</v>
      </c>
      <c r="BB255" s="291"/>
    </row>
    <row r="256" spans="1:54">
      <c r="A256" s="315"/>
      <c r="B256" s="292"/>
      <c r="C256" s="291"/>
      <c r="D256" s="291"/>
      <c r="E256" s="291"/>
      <c r="F256" s="291"/>
      <c r="G256" s="291"/>
      <c r="H256" s="291"/>
      <c r="I256" s="291"/>
      <c r="J256" s="291"/>
      <c r="K256" s="291"/>
      <c r="L256" s="291"/>
      <c r="M256" s="291"/>
      <c r="N256" s="291"/>
      <c r="O256" s="291"/>
      <c r="P256" s="291"/>
      <c r="Q256" s="291"/>
      <c r="R256" s="291"/>
      <c r="S256" s="291"/>
      <c r="T256" s="291"/>
      <c r="U256" s="291"/>
      <c r="V256" s="291"/>
      <c r="W256" s="291"/>
      <c r="X256" s="291"/>
      <c r="Y256" s="291"/>
      <c r="Z256" s="291"/>
      <c r="AA256" s="291"/>
      <c r="AB256" s="314"/>
      <c r="AC256" s="292"/>
      <c r="AD256" s="291"/>
      <c r="AE256" s="291"/>
      <c r="AF256" s="291"/>
      <c r="AG256" s="291"/>
      <c r="AH256" s="291"/>
      <c r="AI256" s="291"/>
      <c r="AJ256" s="291"/>
      <c r="AK256" s="291"/>
      <c r="AL256" s="291"/>
      <c r="AM256" s="291"/>
      <c r="AN256" s="291"/>
      <c r="AO256" s="291"/>
      <c r="AP256" s="291"/>
      <c r="AQ256" s="291"/>
      <c r="AR256" s="291"/>
      <c r="AS256" s="291"/>
      <c r="AT256" s="291"/>
      <c r="AU256" s="291"/>
      <c r="AV256" s="291"/>
      <c r="AW256" s="291"/>
      <c r="AX256" s="291"/>
      <c r="AY256" s="291"/>
      <c r="AZ256" s="291"/>
      <c r="BA256" s="291"/>
      <c r="BB256" s="291"/>
    </row>
    <row r="257" spans="1:54" ht="18">
      <c r="A257" s="67" t="s">
        <v>178</v>
      </c>
      <c r="B257" s="375" t="s">
        <v>81</v>
      </c>
      <c r="C257" s="375"/>
      <c r="D257" s="375"/>
      <c r="E257" s="375"/>
      <c r="F257" s="375"/>
      <c r="G257" s="375"/>
      <c r="H257" s="375"/>
      <c r="I257" s="375"/>
      <c r="J257" s="375"/>
      <c r="K257" s="375"/>
      <c r="L257" s="375"/>
      <c r="M257" s="375"/>
      <c r="N257" s="375"/>
      <c r="O257" s="375"/>
      <c r="P257" s="375"/>
      <c r="Q257" s="375"/>
      <c r="R257" s="375"/>
      <c r="S257" s="375"/>
      <c r="T257" s="375"/>
      <c r="U257" s="375"/>
      <c r="V257" s="375"/>
      <c r="W257" s="375"/>
      <c r="X257" s="375"/>
      <c r="Y257" s="375"/>
      <c r="Z257" s="375"/>
      <c r="AA257" s="43"/>
      <c r="AB257" s="67" t="s">
        <v>178</v>
      </c>
      <c r="AC257" s="375" t="s">
        <v>81</v>
      </c>
      <c r="AD257" s="375"/>
      <c r="AE257" s="375"/>
      <c r="AF257" s="375"/>
      <c r="AG257" s="375"/>
      <c r="AH257" s="375"/>
      <c r="AI257" s="375"/>
      <c r="AJ257" s="375"/>
      <c r="AK257" s="375"/>
      <c r="AL257" s="375"/>
      <c r="AM257" s="375"/>
      <c r="AN257" s="375"/>
      <c r="AO257" s="375"/>
      <c r="AP257" s="375"/>
      <c r="AQ257" s="375"/>
      <c r="AR257" s="375"/>
      <c r="AS257" s="375"/>
      <c r="AT257" s="375"/>
      <c r="AU257" s="375"/>
      <c r="AV257" s="375"/>
      <c r="AW257" s="375"/>
      <c r="AX257" s="375"/>
      <c r="AY257" s="375"/>
      <c r="AZ257" s="375"/>
      <c r="BA257" s="375"/>
      <c r="BB257" s="291"/>
    </row>
    <row r="258" spans="1:54" ht="23.25">
      <c r="A258" s="51"/>
      <c r="B258" s="376" t="s">
        <v>82</v>
      </c>
      <c r="C258" s="376"/>
      <c r="D258" s="376"/>
      <c r="E258" s="376"/>
      <c r="F258" s="376"/>
      <c r="G258" s="376"/>
      <c r="H258" s="376"/>
      <c r="I258" s="376"/>
      <c r="J258" s="376"/>
      <c r="K258" s="376"/>
      <c r="L258" s="376"/>
      <c r="M258" s="376"/>
      <c r="N258" s="376"/>
      <c r="O258" s="376"/>
      <c r="P258" s="376"/>
      <c r="Q258" s="376"/>
      <c r="R258" s="376"/>
      <c r="S258" s="376"/>
      <c r="T258" s="376"/>
      <c r="U258" s="376"/>
      <c r="V258" s="376"/>
      <c r="W258" s="376"/>
      <c r="X258" s="376"/>
      <c r="Y258" s="376"/>
      <c r="Z258" s="376"/>
      <c r="AA258" s="43"/>
      <c r="AB258" s="51"/>
      <c r="AC258" s="376" t="s">
        <v>82</v>
      </c>
      <c r="AD258" s="376"/>
      <c r="AE258" s="376"/>
      <c r="AF258" s="376"/>
      <c r="AG258" s="376"/>
      <c r="AH258" s="376"/>
      <c r="AI258" s="376"/>
      <c r="AJ258" s="376"/>
      <c r="AK258" s="376"/>
      <c r="AL258" s="376"/>
      <c r="AM258" s="376"/>
      <c r="AN258" s="376"/>
      <c r="AO258" s="376"/>
      <c r="AP258" s="376"/>
      <c r="AQ258" s="376"/>
      <c r="AR258" s="376"/>
      <c r="AS258" s="376"/>
      <c r="AT258" s="376"/>
      <c r="AU258" s="376"/>
      <c r="AV258" s="376"/>
      <c r="AW258" s="376"/>
      <c r="AX258" s="376"/>
      <c r="AY258" s="376"/>
      <c r="AZ258" s="376"/>
      <c r="BA258" s="376"/>
      <c r="BB258" s="291"/>
    </row>
    <row r="259" spans="1:54" s="290" customFormat="1" ht="20.25" customHeight="1">
      <c r="A259" s="51"/>
      <c r="B259" s="200" t="str">
        <f>CONCATENATE("ધોરણ - ",SCHOOL!$D$2)</f>
        <v>ધોરણ - 6</v>
      </c>
      <c r="C259" s="374" t="s">
        <v>108</v>
      </c>
      <c r="D259" s="374"/>
      <c r="E259" s="374"/>
      <c r="F259" s="374"/>
      <c r="G259" s="374"/>
      <c r="H259" s="374"/>
      <c r="I259" s="374"/>
      <c r="J259" s="374"/>
      <c r="K259" s="374" t="s">
        <v>84</v>
      </c>
      <c r="L259" s="374"/>
      <c r="M259" s="374"/>
      <c r="N259" s="374"/>
      <c r="O259" s="374"/>
      <c r="P259" s="374"/>
      <c r="Q259" s="374"/>
      <c r="R259" s="374" t="s">
        <v>85</v>
      </c>
      <c r="S259" s="374"/>
      <c r="T259" s="374"/>
      <c r="U259" s="374"/>
      <c r="V259" s="374"/>
      <c r="W259" s="374"/>
      <c r="X259" s="374"/>
      <c r="Y259" s="374">
        <f>COUNTA(C262:V262)</f>
        <v>1</v>
      </c>
      <c r="Z259" s="374"/>
      <c r="AA259" s="65"/>
      <c r="AB259" s="51"/>
      <c r="AC259" s="200" t="str">
        <f>CONCATENATE("ધોરણ - ",SCHOOL!$D$2)</f>
        <v>ધોરણ - 6</v>
      </c>
      <c r="AD259" s="374" t="str">
        <f>C259</f>
        <v xml:space="preserve"> વિષય-સંસ્કૃત</v>
      </c>
      <c r="AE259" s="374"/>
      <c r="AF259" s="374"/>
      <c r="AG259" s="374"/>
      <c r="AH259" s="374"/>
      <c r="AI259" s="374"/>
      <c r="AJ259" s="374"/>
      <c r="AK259" s="374"/>
      <c r="AL259" s="374" t="s">
        <v>102</v>
      </c>
      <c r="AM259" s="374"/>
      <c r="AN259" s="374"/>
      <c r="AO259" s="374"/>
      <c r="AP259" s="374"/>
      <c r="AQ259" s="374"/>
      <c r="AR259" s="374"/>
      <c r="AS259" s="374" t="s">
        <v>85</v>
      </c>
      <c r="AT259" s="374"/>
      <c r="AU259" s="374"/>
      <c r="AV259" s="374"/>
      <c r="AW259" s="374"/>
      <c r="AX259" s="374"/>
      <c r="AY259" s="374"/>
      <c r="AZ259" s="374">
        <f>COUNTA(AD262:AW262)</f>
        <v>1</v>
      </c>
      <c r="BA259" s="374"/>
      <c r="BB259" s="292"/>
    </row>
    <row r="260" spans="1:54" ht="18.75" customHeight="1">
      <c r="A260" s="358"/>
      <c r="B260" s="359" t="s">
        <v>86</v>
      </c>
      <c r="C260" s="362" t="s">
        <v>87</v>
      </c>
      <c r="D260" s="363"/>
      <c r="E260" s="363"/>
      <c r="F260" s="363"/>
      <c r="G260" s="363"/>
      <c r="H260" s="363"/>
      <c r="I260" s="363"/>
      <c r="J260" s="363"/>
      <c r="K260" s="363"/>
      <c r="L260" s="363"/>
      <c r="M260" s="363"/>
      <c r="N260" s="363"/>
      <c r="O260" s="363"/>
      <c r="P260" s="363"/>
      <c r="Q260" s="363"/>
      <c r="R260" s="363"/>
      <c r="S260" s="363"/>
      <c r="T260" s="363"/>
      <c r="U260" s="363"/>
      <c r="V260" s="364"/>
      <c r="W260" s="365" t="s">
        <v>88</v>
      </c>
      <c r="X260" s="366"/>
      <c r="Y260" s="367"/>
      <c r="Z260" s="371" t="s">
        <v>90</v>
      </c>
      <c r="AA260" s="291"/>
      <c r="AB260" s="358"/>
      <c r="AC260" s="359" t="s">
        <v>86</v>
      </c>
      <c r="AD260" s="362" t="s">
        <v>87</v>
      </c>
      <c r="AE260" s="363"/>
      <c r="AF260" s="363"/>
      <c r="AG260" s="363"/>
      <c r="AH260" s="363"/>
      <c r="AI260" s="363"/>
      <c r="AJ260" s="363"/>
      <c r="AK260" s="363"/>
      <c r="AL260" s="363"/>
      <c r="AM260" s="363"/>
      <c r="AN260" s="363"/>
      <c r="AO260" s="363"/>
      <c r="AP260" s="363"/>
      <c r="AQ260" s="363"/>
      <c r="AR260" s="363"/>
      <c r="AS260" s="363"/>
      <c r="AT260" s="363"/>
      <c r="AU260" s="363"/>
      <c r="AV260" s="363"/>
      <c r="AW260" s="364"/>
      <c r="AX260" s="365" t="s">
        <v>88</v>
      </c>
      <c r="AY260" s="366"/>
      <c r="AZ260" s="367"/>
      <c r="BA260" s="371" t="s">
        <v>90</v>
      </c>
      <c r="BB260" s="291"/>
    </row>
    <row r="261" spans="1:54" ht="15" customHeight="1">
      <c r="A261" s="358"/>
      <c r="B261" s="360"/>
      <c r="C261" s="45">
        <v>1</v>
      </c>
      <c r="D261" s="46">
        <v>2</v>
      </c>
      <c r="E261" s="46">
        <v>3</v>
      </c>
      <c r="F261" s="46">
        <v>4</v>
      </c>
      <c r="G261" s="46">
        <v>5</v>
      </c>
      <c r="H261" s="46">
        <v>6</v>
      </c>
      <c r="I261" s="46">
        <v>7</v>
      </c>
      <c r="J261" s="46">
        <v>8</v>
      </c>
      <c r="K261" s="46">
        <v>9</v>
      </c>
      <c r="L261" s="46">
        <v>10</v>
      </c>
      <c r="M261" s="46">
        <v>11</v>
      </c>
      <c r="N261" s="46">
        <v>12</v>
      </c>
      <c r="O261" s="46">
        <v>13</v>
      </c>
      <c r="P261" s="46">
        <v>14</v>
      </c>
      <c r="Q261" s="46">
        <v>15</v>
      </c>
      <c r="R261" s="46">
        <v>16</v>
      </c>
      <c r="S261" s="46">
        <v>17</v>
      </c>
      <c r="T261" s="46">
        <v>18</v>
      </c>
      <c r="U261" s="46">
        <v>19</v>
      </c>
      <c r="V261" s="47">
        <v>20</v>
      </c>
      <c r="W261" s="368"/>
      <c r="X261" s="369"/>
      <c r="Y261" s="370"/>
      <c r="Z261" s="372"/>
      <c r="AA261" s="291"/>
      <c r="AB261" s="358"/>
      <c r="AC261" s="360"/>
      <c r="AD261" s="45">
        <v>1</v>
      </c>
      <c r="AE261" s="46">
        <v>2</v>
      </c>
      <c r="AF261" s="46">
        <v>3</v>
      </c>
      <c r="AG261" s="46">
        <v>4</v>
      </c>
      <c r="AH261" s="46">
        <v>5</v>
      </c>
      <c r="AI261" s="46">
        <v>6</v>
      </c>
      <c r="AJ261" s="46">
        <v>7</v>
      </c>
      <c r="AK261" s="46">
        <v>8</v>
      </c>
      <c r="AL261" s="46">
        <v>9</v>
      </c>
      <c r="AM261" s="46">
        <v>10</v>
      </c>
      <c r="AN261" s="46">
        <v>11</v>
      </c>
      <c r="AO261" s="46">
        <v>12</v>
      </c>
      <c r="AP261" s="46">
        <v>13</v>
      </c>
      <c r="AQ261" s="46">
        <v>14</v>
      </c>
      <c r="AR261" s="46">
        <v>15</v>
      </c>
      <c r="AS261" s="46">
        <v>16</v>
      </c>
      <c r="AT261" s="46">
        <v>17</v>
      </c>
      <c r="AU261" s="46">
        <v>18</v>
      </c>
      <c r="AV261" s="46">
        <v>19</v>
      </c>
      <c r="AW261" s="47">
        <v>20</v>
      </c>
      <c r="AX261" s="368"/>
      <c r="AY261" s="369"/>
      <c r="AZ261" s="370"/>
      <c r="BA261" s="372"/>
      <c r="BB261" s="291"/>
    </row>
    <row r="262" spans="1:54" ht="45" customHeight="1">
      <c r="A262" s="358"/>
      <c r="B262" s="361"/>
      <c r="C262" s="293" t="s">
        <v>80</v>
      </c>
      <c r="D262" s="294"/>
      <c r="E262" s="294"/>
      <c r="F262" s="294"/>
      <c r="G262" s="294"/>
      <c r="H262" s="294"/>
      <c r="I262" s="294"/>
      <c r="J262" s="294"/>
      <c r="K262" s="294"/>
      <c r="L262" s="294"/>
      <c r="M262" s="294"/>
      <c r="N262" s="294"/>
      <c r="O262" s="294"/>
      <c r="P262" s="294"/>
      <c r="Q262" s="294"/>
      <c r="R262" s="294"/>
      <c r="S262" s="294"/>
      <c r="T262" s="294"/>
      <c r="U262" s="294"/>
      <c r="V262" s="295"/>
      <c r="W262" s="48" t="s">
        <v>91</v>
      </c>
      <c r="X262" s="49" t="s">
        <v>92</v>
      </c>
      <c r="Y262" s="50" t="s">
        <v>89</v>
      </c>
      <c r="Z262" s="373"/>
      <c r="AA262" s="291"/>
      <c r="AB262" s="358"/>
      <c r="AC262" s="361"/>
      <c r="AD262" s="293" t="s">
        <v>80</v>
      </c>
      <c r="AE262" s="294"/>
      <c r="AF262" s="294"/>
      <c r="AG262" s="294"/>
      <c r="AH262" s="294"/>
      <c r="AI262" s="294"/>
      <c r="AJ262" s="294"/>
      <c r="AK262" s="294"/>
      <c r="AL262" s="294"/>
      <c r="AM262" s="294"/>
      <c r="AN262" s="294"/>
      <c r="AO262" s="294"/>
      <c r="AP262" s="294"/>
      <c r="AQ262" s="294"/>
      <c r="AR262" s="294"/>
      <c r="AS262" s="294"/>
      <c r="AT262" s="294"/>
      <c r="AU262" s="294"/>
      <c r="AV262" s="294"/>
      <c r="AW262" s="295"/>
      <c r="AX262" s="48" t="s">
        <v>91</v>
      </c>
      <c r="AY262" s="49" t="s">
        <v>92</v>
      </c>
      <c r="AZ262" s="50" t="s">
        <v>89</v>
      </c>
      <c r="BA262" s="373"/>
      <c r="BB262" s="291"/>
    </row>
    <row r="263" spans="1:54" ht="20.25" customHeight="1">
      <c r="A263" s="201">
        <v>1</v>
      </c>
      <c r="B263" s="62" t="str">
        <f>B11</f>
        <v>ગોહેલ રાજેશભાઇ ચીથરભાઇ</v>
      </c>
      <c r="C263" s="296" t="s">
        <v>91</v>
      </c>
      <c r="D263" s="297"/>
      <c r="E263" s="297"/>
      <c r="F263" s="297"/>
      <c r="G263" s="297"/>
      <c r="H263" s="297"/>
      <c r="I263" s="297"/>
      <c r="J263" s="297"/>
      <c r="K263" s="297"/>
      <c r="L263" s="297"/>
      <c r="M263" s="297"/>
      <c r="N263" s="297"/>
      <c r="O263" s="297"/>
      <c r="P263" s="297"/>
      <c r="Q263" s="297"/>
      <c r="R263" s="297"/>
      <c r="S263" s="297"/>
      <c r="T263" s="297"/>
      <c r="U263" s="297"/>
      <c r="V263" s="298"/>
      <c r="W263" s="299">
        <f>COUNTIF(C263:V263,"√")</f>
        <v>1</v>
      </c>
      <c r="X263" s="300">
        <f>COUNTIF(C263:V263," ?")</f>
        <v>0</v>
      </c>
      <c r="Y263" s="300">
        <f>COUNTIF(C263:V263,"X")</f>
        <v>0</v>
      </c>
      <c r="Z263" s="301">
        <f>ROUND((40/$Y$259)*W263,0)</f>
        <v>40</v>
      </c>
      <c r="AA263" s="291"/>
      <c r="AB263" s="201">
        <v>1</v>
      </c>
      <c r="AC263" s="62" t="str">
        <f>B263</f>
        <v>ગોહેલ રાજેશભાઇ ચીથરભાઇ</v>
      </c>
      <c r="AD263" s="296" t="s">
        <v>91</v>
      </c>
      <c r="AE263" s="297"/>
      <c r="AF263" s="297"/>
      <c r="AG263" s="297"/>
      <c r="AH263" s="297"/>
      <c r="AI263" s="297"/>
      <c r="AJ263" s="297"/>
      <c r="AK263" s="297"/>
      <c r="AL263" s="297"/>
      <c r="AM263" s="297"/>
      <c r="AN263" s="297"/>
      <c r="AO263" s="297"/>
      <c r="AP263" s="297"/>
      <c r="AQ263" s="297"/>
      <c r="AR263" s="297"/>
      <c r="AS263" s="297"/>
      <c r="AT263" s="297"/>
      <c r="AU263" s="297"/>
      <c r="AV263" s="297"/>
      <c r="AW263" s="298"/>
      <c r="AX263" s="299">
        <f>COUNTIF(AD263:AW263,"√")</f>
        <v>1</v>
      </c>
      <c r="AY263" s="300">
        <f>COUNTIF(AD263:AW263," ?")</f>
        <v>0</v>
      </c>
      <c r="AZ263" s="300">
        <f>COUNTIF(AD263:AW263,"X")</f>
        <v>0</v>
      </c>
      <c r="BA263" s="301">
        <f>ROUND((40/$AZ$259)*AX263,0)</f>
        <v>40</v>
      </c>
      <c r="BB263" s="291"/>
    </row>
    <row r="264" spans="1:54" ht="20.25" customHeight="1">
      <c r="A264" s="201">
        <v>2</v>
      </c>
      <c r="B264" s="63" t="str">
        <f t="shared" ref="B264:B297" si="59">B12</f>
        <v>ખિમસુરીયા સાહિલકુમાર અરજણભાઇ</v>
      </c>
      <c r="C264" s="302" t="s">
        <v>91</v>
      </c>
      <c r="D264" s="303"/>
      <c r="E264" s="303"/>
      <c r="F264" s="303"/>
      <c r="G264" s="303"/>
      <c r="H264" s="303"/>
      <c r="I264" s="303"/>
      <c r="J264" s="303"/>
      <c r="K264" s="303"/>
      <c r="L264" s="303"/>
      <c r="M264" s="303"/>
      <c r="N264" s="303"/>
      <c r="O264" s="303"/>
      <c r="P264" s="303"/>
      <c r="Q264" s="303"/>
      <c r="R264" s="303"/>
      <c r="S264" s="303"/>
      <c r="T264" s="303"/>
      <c r="U264" s="303"/>
      <c r="V264" s="304"/>
      <c r="W264" s="305">
        <f t="shared" ref="W264:W297" si="60">COUNTIF(C264:V264,"√")</f>
        <v>1</v>
      </c>
      <c r="X264" s="306">
        <f t="shared" ref="X264:X297" si="61">COUNTIF(C264:V264," ?")</f>
        <v>0</v>
      </c>
      <c r="Y264" s="306">
        <f t="shared" ref="Y264:Y297" si="62">COUNTIF(C264:V264,"X")</f>
        <v>0</v>
      </c>
      <c r="Z264" s="307">
        <f t="shared" ref="Z264:Z297" si="63">ROUND((40/$Y$259)*W264,0)</f>
        <v>40</v>
      </c>
      <c r="AA264" s="291"/>
      <c r="AB264" s="201">
        <v>2</v>
      </c>
      <c r="AC264" s="63" t="str">
        <f t="shared" ref="AC264:AC297" si="64">B264</f>
        <v>ખિમસુરીયા સાહિલકુમાર અરજણભાઇ</v>
      </c>
      <c r="AD264" s="302" t="s">
        <v>91</v>
      </c>
      <c r="AE264" s="303"/>
      <c r="AF264" s="303"/>
      <c r="AG264" s="303"/>
      <c r="AH264" s="303"/>
      <c r="AI264" s="303"/>
      <c r="AJ264" s="303"/>
      <c r="AK264" s="303"/>
      <c r="AL264" s="303"/>
      <c r="AM264" s="303"/>
      <c r="AN264" s="303"/>
      <c r="AO264" s="303"/>
      <c r="AP264" s="303"/>
      <c r="AQ264" s="303"/>
      <c r="AR264" s="303"/>
      <c r="AS264" s="303"/>
      <c r="AT264" s="303"/>
      <c r="AU264" s="303"/>
      <c r="AV264" s="303"/>
      <c r="AW264" s="304"/>
      <c r="AX264" s="305">
        <f t="shared" ref="AX264:AX297" si="65">COUNTIF(AD264:AW264,"√")</f>
        <v>1</v>
      </c>
      <c r="AY264" s="306">
        <f t="shared" ref="AY264:AY297" si="66">COUNTIF(AD264:AW264," ?")</f>
        <v>0</v>
      </c>
      <c r="AZ264" s="306">
        <f t="shared" ref="AZ264:AZ297" si="67">COUNTIF(AD264:AW264,"X")</f>
        <v>0</v>
      </c>
      <c r="BA264" s="307">
        <f t="shared" ref="BA264:BA297" si="68">ROUND((40/$AZ$259)*AX264,0)</f>
        <v>40</v>
      </c>
      <c r="BB264" s="291"/>
    </row>
    <row r="265" spans="1:54" ht="20.25" customHeight="1">
      <c r="A265" s="201">
        <v>3</v>
      </c>
      <c r="B265" s="63" t="str">
        <f t="shared" si="59"/>
        <v>ગરણિયા મયુરકુમાર અશોકભાઇ</v>
      </c>
      <c r="C265" s="302" t="s">
        <v>91</v>
      </c>
      <c r="D265" s="303"/>
      <c r="E265" s="303"/>
      <c r="F265" s="303"/>
      <c r="G265" s="303"/>
      <c r="H265" s="303"/>
      <c r="I265" s="303"/>
      <c r="J265" s="303"/>
      <c r="K265" s="303"/>
      <c r="L265" s="303"/>
      <c r="M265" s="303"/>
      <c r="N265" s="303"/>
      <c r="O265" s="303"/>
      <c r="P265" s="303"/>
      <c r="Q265" s="303"/>
      <c r="R265" s="303"/>
      <c r="S265" s="303"/>
      <c r="T265" s="303"/>
      <c r="U265" s="303"/>
      <c r="V265" s="304"/>
      <c r="W265" s="305">
        <f t="shared" si="60"/>
        <v>1</v>
      </c>
      <c r="X265" s="306">
        <f t="shared" si="61"/>
        <v>0</v>
      </c>
      <c r="Y265" s="306">
        <f t="shared" si="62"/>
        <v>0</v>
      </c>
      <c r="Z265" s="307">
        <f t="shared" si="63"/>
        <v>40</v>
      </c>
      <c r="AA265" s="291"/>
      <c r="AB265" s="201">
        <v>3</v>
      </c>
      <c r="AC265" s="63" t="str">
        <f t="shared" si="64"/>
        <v>ગરણિયા મયુરકુમાર અશોકભાઇ</v>
      </c>
      <c r="AD265" s="302" t="s">
        <v>91</v>
      </c>
      <c r="AE265" s="303"/>
      <c r="AF265" s="303"/>
      <c r="AG265" s="303"/>
      <c r="AH265" s="303"/>
      <c r="AI265" s="303"/>
      <c r="AJ265" s="303"/>
      <c r="AK265" s="303"/>
      <c r="AL265" s="303"/>
      <c r="AM265" s="303"/>
      <c r="AN265" s="303"/>
      <c r="AO265" s="303"/>
      <c r="AP265" s="303"/>
      <c r="AQ265" s="303"/>
      <c r="AR265" s="303"/>
      <c r="AS265" s="303"/>
      <c r="AT265" s="303"/>
      <c r="AU265" s="303"/>
      <c r="AV265" s="303"/>
      <c r="AW265" s="304"/>
      <c r="AX265" s="305">
        <f t="shared" si="65"/>
        <v>1</v>
      </c>
      <c r="AY265" s="306">
        <f t="shared" si="66"/>
        <v>0</v>
      </c>
      <c r="AZ265" s="306">
        <f t="shared" si="67"/>
        <v>0</v>
      </c>
      <c r="BA265" s="307">
        <f t="shared" si="68"/>
        <v>40</v>
      </c>
      <c r="BB265" s="291"/>
    </row>
    <row r="266" spans="1:54" ht="20.25" customHeight="1">
      <c r="A266" s="201">
        <v>4</v>
      </c>
      <c r="B266" s="63" t="str">
        <f t="shared" si="59"/>
        <v>ગરણિયા અલ્પેશકુમાર મેરામભાઇ</v>
      </c>
      <c r="C266" s="302" t="s">
        <v>91</v>
      </c>
      <c r="D266" s="303"/>
      <c r="E266" s="303"/>
      <c r="F266" s="303"/>
      <c r="G266" s="303"/>
      <c r="H266" s="303"/>
      <c r="I266" s="303"/>
      <c r="J266" s="303"/>
      <c r="K266" s="303"/>
      <c r="L266" s="303"/>
      <c r="M266" s="303"/>
      <c r="N266" s="303"/>
      <c r="O266" s="303"/>
      <c r="P266" s="303"/>
      <c r="Q266" s="303"/>
      <c r="R266" s="303"/>
      <c r="S266" s="303"/>
      <c r="T266" s="303"/>
      <c r="U266" s="303"/>
      <c r="V266" s="304"/>
      <c r="W266" s="305">
        <f t="shared" si="60"/>
        <v>1</v>
      </c>
      <c r="X266" s="306">
        <f t="shared" si="61"/>
        <v>0</v>
      </c>
      <c r="Y266" s="306">
        <f t="shared" si="62"/>
        <v>0</v>
      </c>
      <c r="Z266" s="307">
        <f t="shared" si="63"/>
        <v>40</v>
      </c>
      <c r="AA266" s="291"/>
      <c r="AB266" s="201">
        <v>4</v>
      </c>
      <c r="AC266" s="63" t="str">
        <f t="shared" si="64"/>
        <v>ગરણિયા અલ્પેશકુમાર મેરામભાઇ</v>
      </c>
      <c r="AD266" s="302" t="s">
        <v>91</v>
      </c>
      <c r="AE266" s="303"/>
      <c r="AF266" s="303"/>
      <c r="AG266" s="303"/>
      <c r="AH266" s="303"/>
      <c r="AI266" s="303"/>
      <c r="AJ266" s="303"/>
      <c r="AK266" s="303"/>
      <c r="AL266" s="303"/>
      <c r="AM266" s="303"/>
      <c r="AN266" s="303"/>
      <c r="AO266" s="303"/>
      <c r="AP266" s="303"/>
      <c r="AQ266" s="303"/>
      <c r="AR266" s="303"/>
      <c r="AS266" s="303"/>
      <c r="AT266" s="303"/>
      <c r="AU266" s="303"/>
      <c r="AV266" s="303"/>
      <c r="AW266" s="304"/>
      <c r="AX266" s="305">
        <f t="shared" si="65"/>
        <v>1</v>
      </c>
      <c r="AY266" s="306">
        <f t="shared" si="66"/>
        <v>0</v>
      </c>
      <c r="AZ266" s="306">
        <f t="shared" si="67"/>
        <v>0</v>
      </c>
      <c r="BA266" s="307">
        <f t="shared" si="68"/>
        <v>40</v>
      </c>
      <c r="BB266" s="291"/>
    </row>
    <row r="267" spans="1:54" ht="20.25" customHeight="1">
      <c r="A267" s="201">
        <v>5</v>
      </c>
      <c r="B267" s="63" t="str">
        <f t="shared" si="59"/>
        <v>ગરણિયા મિલન પોપટભાઇ</v>
      </c>
      <c r="C267" s="302" t="s">
        <v>91</v>
      </c>
      <c r="D267" s="303"/>
      <c r="E267" s="303"/>
      <c r="F267" s="303"/>
      <c r="G267" s="303"/>
      <c r="H267" s="303"/>
      <c r="I267" s="303"/>
      <c r="J267" s="303"/>
      <c r="K267" s="303"/>
      <c r="L267" s="303"/>
      <c r="M267" s="303"/>
      <c r="N267" s="303"/>
      <c r="O267" s="303"/>
      <c r="P267" s="303"/>
      <c r="Q267" s="303"/>
      <c r="R267" s="303"/>
      <c r="S267" s="303"/>
      <c r="T267" s="303"/>
      <c r="U267" s="303"/>
      <c r="V267" s="304"/>
      <c r="W267" s="305">
        <f t="shared" si="60"/>
        <v>1</v>
      </c>
      <c r="X267" s="306">
        <f t="shared" si="61"/>
        <v>0</v>
      </c>
      <c r="Y267" s="306">
        <f t="shared" si="62"/>
        <v>0</v>
      </c>
      <c r="Z267" s="307">
        <f t="shared" si="63"/>
        <v>40</v>
      </c>
      <c r="AA267" s="291"/>
      <c r="AB267" s="201">
        <v>5</v>
      </c>
      <c r="AC267" s="63" t="str">
        <f t="shared" si="64"/>
        <v>ગરણિયા મિલન પોપટભાઇ</v>
      </c>
      <c r="AD267" s="302" t="s">
        <v>91</v>
      </c>
      <c r="AE267" s="303"/>
      <c r="AF267" s="303"/>
      <c r="AG267" s="303"/>
      <c r="AH267" s="303"/>
      <c r="AI267" s="303"/>
      <c r="AJ267" s="303"/>
      <c r="AK267" s="303"/>
      <c r="AL267" s="303"/>
      <c r="AM267" s="303"/>
      <c r="AN267" s="303"/>
      <c r="AO267" s="303"/>
      <c r="AP267" s="303"/>
      <c r="AQ267" s="303"/>
      <c r="AR267" s="303"/>
      <c r="AS267" s="303"/>
      <c r="AT267" s="303"/>
      <c r="AU267" s="303"/>
      <c r="AV267" s="303"/>
      <c r="AW267" s="304"/>
      <c r="AX267" s="305">
        <f t="shared" si="65"/>
        <v>1</v>
      </c>
      <c r="AY267" s="306">
        <f t="shared" si="66"/>
        <v>0</v>
      </c>
      <c r="AZ267" s="306">
        <f t="shared" si="67"/>
        <v>0</v>
      </c>
      <c r="BA267" s="307">
        <f t="shared" si="68"/>
        <v>40</v>
      </c>
      <c r="BB267" s="291"/>
    </row>
    <row r="268" spans="1:54" ht="20.25" customHeight="1">
      <c r="A268" s="201">
        <v>6</v>
      </c>
      <c r="B268" s="63" t="str">
        <f t="shared" si="59"/>
        <v>ગરણિયા મોહિત રાવતભાઇ</v>
      </c>
      <c r="C268" s="302" t="s">
        <v>91</v>
      </c>
      <c r="D268" s="303"/>
      <c r="E268" s="303"/>
      <c r="F268" s="303"/>
      <c r="G268" s="303"/>
      <c r="H268" s="303"/>
      <c r="I268" s="303"/>
      <c r="J268" s="303"/>
      <c r="K268" s="303"/>
      <c r="L268" s="303"/>
      <c r="M268" s="303"/>
      <c r="N268" s="303"/>
      <c r="O268" s="303"/>
      <c r="P268" s="303"/>
      <c r="Q268" s="303"/>
      <c r="R268" s="303"/>
      <c r="S268" s="303"/>
      <c r="T268" s="303"/>
      <c r="U268" s="303"/>
      <c r="V268" s="304"/>
      <c r="W268" s="305">
        <f t="shared" si="60"/>
        <v>1</v>
      </c>
      <c r="X268" s="306">
        <f t="shared" si="61"/>
        <v>0</v>
      </c>
      <c r="Y268" s="306">
        <f t="shared" si="62"/>
        <v>0</v>
      </c>
      <c r="Z268" s="307">
        <f t="shared" si="63"/>
        <v>40</v>
      </c>
      <c r="AA268" s="291"/>
      <c r="AB268" s="201">
        <v>6</v>
      </c>
      <c r="AC268" s="63" t="str">
        <f t="shared" si="64"/>
        <v>ગરણિયા મોહિત રાવતભાઇ</v>
      </c>
      <c r="AD268" s="302" t="s">
        <v>91</v>
      </c>
      <c r="AE268" s="303"/>
      <c r="AF268" s="303"/>
      <c r="AG268" s="303"/>
      <c r="AH268" s="303"/>
      <c r="AI268" s="303"/>
      <c r="AJ268" s="303"/>
      <c r="AK268" s="303"/>
      <c r="AL268" s="303"/>
      <c r="AM268" s="303"/>
      <c r="AN268" s="303"/>
      <c r="AO268" s="303"/>
      <c r="AP268" s="303"/>
      <c r="AQ268" s="303"/>
      <c r="AR268" s="303"/>
      <c r="AS268" s="303"/>
      <c r="AT268" s="303"/>
      <c r="AU268" s="303"/>
      <c r="AV268" s="303"/>
      <c r="AW268" s="304"/>
      <c r="AX268" s="305">
        <f t="shared" si="65"/>
        <v>1</v>
      </c>
      <c r="AY268" s="306">
        <f t="shared" si="66"/>
        <v>0</v>
      </c>
      <c r="AZ268" s="306">
        <f t="shared" si="67"/>
        <v>0</v>
      </c>
      <c r="BA268" s="307">
        <f t="shared" si="68"/>
        <v>40</v>
      </c>
      <c r="BB268" s="291"/>
    </row>
    <row r="269" spans="1:54" ht="20.25" customHeight="1">
      <c r="A269" s="201">
        <v>7</v>
      </c>
      <c r="B269" s="63" t="str">
        <f t="shared" si="59"/>
        <v>ગરણિયા સુમિત પોપટભાઇ</v>
      </c>
      <c r="C269" s="302" t="s">
        <v>91</v>
      </c>
      <c r="D269" s="303"/>
      <c r="E269" s="303"/>
      <c r="F269" s="303"/>
      <c r="G269" s="303"/>
      <c r="H269" s="303"/>
      <c r="I269" s="303"/>
      <c r="J269" s="303"/>
      <c r="K269" s="303"/>
      <c r="L269" s="303"/>
      <c r="M269" s="303"/>
      <c r="N269" s="303"/>
      <c r="O269" s="303"/>
      <c r="P269" s="303"/>
      <c r="Q269" s="303"/>
      <c r="R269" s="303"/>
      <c r="S269" s="303"/>
      <c r="T269" s="303"/>
      <c r="U269" s="303"/>
      <c r="V269" s="304"/>
      <c r="W269" s="305">
        <f t="shared" si="60"/>
        <v>1</v>
      </c>
      <c r="X269" s="306">
        <f t="shared" si="61"/>
        <v>0</v>
      </c>
      <c r="Y269" s="306">
        <f t="shared" si="62"/>
        <v>0</v>
      </c>
      <c r="Z269" s="307">
        <f t="shared" si="63"/>
        <v>40</v>
      </c>
      <c r="AA269" s="291"/>
      <c r="AB269" s="201">
        <v>7</v>
      </c>
      <c r="AC269" s="63" t="str">
        <f t="shared" si="64"/>
        <v>ગરણિયા સુમિત પોપટભાઇ</v>
      </c>
      <c r="AD269" s="302" t="s">
        <v>91</v>
      </c>
      <c r="AE269" s="303"/>
      <c r="AF269" s="303"/>
      <c r="AG269" s="303"/>
      <c r="AH269" s="303"/>
      <c r="AI269" s="303"/>
      <c r="AJ269" s="303"/>
      <c r="AK269" s="303"/>
      <c r="AL269" s="303"/>
      <c r="AM269" s="303"/>
      <c r="AN269" s="303"/>
      <c r="AO269" s="303"/>
      <c r="AP269" s="303"/>
      <c r="AQ269" s="303"/>
      <c r="AR269" s="303"/>
      <c r="AS269" s="303"/>
      <c r="AT269" s="303"/>
      <c r="AU269" s="303"/>
      <c r="AV269" s="303"/>
      <c r="AW269" s="304"/>
      <c r="AX269" s="305">
        <f t="shared" si="65"/>
        <v>1</v>
      </c>
      <c r="AY269" s="306">
        <f t="shared" si="66"/>
        <v>0</v>
      </c>
      <c r="AZ269" s="306">
        <f t="shared" si="67"/>
        <v>0</v>
      </c>
      <c r="BA269" s="307">
        <f t="shared" si="68"/>
        <v>40</v>
      </c>
      <c r="BB269" s="291"/>
    </row>
    <row r="270" spans="1:54" ht="20.25" customHeight="1">
      <c r="A270" s="201">
        <v>8</v>
      </c>
      <c r="B270" s="63" t="str">
        <f t="shared" si="59"/>
        <v>ગરણિયા રામકુભાઇ સાર્દૂળભાઇ</v>
      </c>
      <c r="C270" s="302" t="s">
        <v>91</v>
      </c>
      <c r="D270" s="303"/>
      <c r="E270" s="303"/>
      <c r="F270" s="303"/>
      <c r="G270" s="303"/>
      <c r="H270" s="303"/>
      <c r="I270" s="303"/>
      <c r="J270" s="303"/>
      <c r="K270" s="303"/>
      <c r="L270" s="303"/>
      <c r="M270" s="303"/>
      <c r="N270" s="303"/>
      <c r="O270" s="303"/>
      <c r="P270" s="303"/>
      <c r="Q270" s="303"/>
      <c r="R270" s="303"/>
      <c r="S270" s="303"/>
      <c r="T270" s="303"/>
      <c r="U270" s="303"/>
      <c r="V270" s="304"/>
      <c r="W270" s="305">
        <f t="shared" si="60"/>
        <v>1</v>
      </c>
      <c r="X270" s="306">
        <f t="shared" si="61"/>
        <v>0</v>
      </c>
      <c r="Y270" s="306">
        <f t="shared" si="62"/>
        <v>0</v>
      </c>
      <c r="Z270" s="307">
        <f t="shared" si="63"/>
        <v>40</v>
      </c>
      <c r="AA270" s="291"/>
      <c r="AB270" s="201">
        <v>8</v>
      </c>
      <c r="AC270" s="63" t="str">
        <f t="shared" si="64"/>
        <v>ગરણિયા રામકુભાઇ સાર્દૂળભાઇ</v>
      </c>
      <c r="AD270" s="302" t="s">
        <v>91</v>
      </c>
      <c r="AE270" s="303"/>
      <c r="AF270" s="303"/>
      <c r="AG270" s="303"/>
      <c r="AH270" s="303"/>
      <c r="AI270" s="303"/>
      <c r="AJ270" s="303"/>
      <c r="AK270" s="303"/>
      <c r="AL270" s="303"/>
      <c r="AM270" s="303"/>
      <c r="AN270" s="303"/>
      <c r="AO270" s="303"/>
      <c r="AP270" s="303"/>
      <c r="AQ270" s="303"/>
      <c r="AR270" s="303"/>
      <c r="AS270" s="303"/>
      <c r="AT270" s="303"/>
      <c r="AU270" s="303"/>
      <c r="AV270" s="303"/>
      <c r="AW270" s="304"/>
      <c r="AX270" s="305">
        <f t="shared" si="65"/>
        <v>1</v>
      </c>
      <c r="AY270" s="306">
        <f t="shared" si="66"/>
        <v>0</v>
      </c>
      <c r="AZ270" s="306">
        <f t="shared" si="67"/>
        <v>0</v>
      </c>
      <c r="BA270" s="307">
        <f t="shared" si="68"/>
        <v>40</v>
      </c>
      <c r="BB270" s="291"/>
    </row>
    <row r="271" spans="1:54" ht="20.25" customHeight="1">
      <c r="A271" s="201">
        <v>9</v>
      </c>
      <c r="B271" s="63" t="str">
        <f t="shared" si="59"/>
        <v>ડેર હિતેષકુમાર પ્રતાપભાઇ</v>
      </c>
      <c r="C271" s="302" t="s">
        <v>91</v>
      </c>
      <c r="D271" s="303"/>
      <c r="E271" s="303"/>
      <c r="F271" s="303"/>
      <c r="G271" s="303"/>
      <c r="H271" s="303"/>
      <c r="I271" s="303"/>
      <c r="J271" s="303"/>
      <c r="K271" s="303"/>
      <c r="L271" s="303"/>
      <c r="M271" s="303"/>
      <c r="N271" s="303"/>
      <c r="O271" s="303"/>
      <c r="P271" s="303"/>
      <c r="Q271" s="303"/>
      <c r="R271" s="303"/>
      <c r="S271" s="303"/>
      <c r="T271" s="303"/>
      <c r="U271" s="303"/>
      <c r="V271" s="304"/>
      <c r="W271" s="305">
        <f t="shared" si="60"/>
        <v>1</v>
      </c>
      <c r="X271" s="306">
        <f t="shared" si="61"/>
        <v>0</v>
      </c>
      <c r="Y271" s="306">
        <f t="shared" si="62"/>
        <v>0</v>
      </c>
      <c r="Z271" s="307">
        <f t="shared" si="63"/>
        <v>40</v>
      </c>
      <c r="AA271" s="291"/>
      <c r="AB271" s="201">
        <v>9</v>
      </c>
      <c r="AC271" s="63" t="str">
        <f t="shared" si="64"/>
        <v>ડેર હિતેષકુમાર પ્રતાપભાઇ</v>
      </c>
      <c r="AD271" s="302" t="s">
        <v>91</v>
      </c>
      <c r="AE271" s="303"/>
      <c r="AF271" s="303"/>
      <c r="AG271" s="303"/>
      <c r="AH271" s="303"/>
      <c r="AI271" s="303"/>
      <c r="AJ271" s="303"/>
      <c r="AK271" s="303"/>
      <c r="AL271" s="303"/>
      <c r="AM271" s="303"/>
      <c r="AN271" s="303"/>
      <c r="AO271" s="303"/>
      <c r="AP271" s="303"/>
      <c r="AQ271" s="303"/>
      <c r="AR271" s="303"/>
      <c r="AS271" s="303"/>
      <c r="AT271" s="303"/>
      <c r="AU271" s="303"/>
      <c r="AV271" s="303"/>
      <c r="AW271" s="304"/>
      <c r="AX271" s="305">
        <f t="shared" si="65"/>
        <v>1</v>
      </c>
      <c r="AY271" s="306">
        <f t="shared" si="66"/>
        <v>0</v>
      </c>
      <c r="AZ271" s="306">
        <f t="shared" si="67"/>
        <v>0</v>
      </c>
      <c r="BA271" s="307">
        <f t="shared" si="68"/>
        <v>40</v>
      </c>
      <c r="BB271" s="291"/>
    </row>
    <row r="272" spans="1:54" ht="20.25" customHeight="1">
      <c r="A272" s="201">
        <v>10</v>
      </c>
      <c r="B272" s="63" t="str">
        <f t="shared" si="59"/>
        <v>વેકરીયા વિશાલકુમાર દિપકભાઇ</v>
      </c>
      <c r="C272" s="302" t="s">
        <v>91</v>
      </c>
      <c r="D272" s="303"/>
      <c r="E272" s="303"/>
      <c r="F272" s="303"/>
      <c r="G272" s="303"/>
      <c r="H272" s="303"/>
      <c r="I272" s="303"/>
      <c r="J272" s="303"/>
      <c r="K272" s="303"/>
      <c r="L272" s="303"/>
      <c r="M272" s="303"/>
      <c r="N272" s="303"/>
      <c r="O272" s="303"/>
      <c r="P272" s="303"/>
      <c r="Q272" s="303"/>
      <c r="R272" s="303"/>
      <c r="S272" s="303"/>
      <c r="T272" s="303"/>
      <c r="U272" s="303"/>
      <c r="V272" s="304"/>
      <c r="W272" s="305">
        <f t="shared" si="60"/>
        <v>1</v>
      </c>
      <c r="X272" s="306">
        <f t="shared" si="61"/>
        <v>0</v>
      </c>
      <c r="Y272" s="306">
        <f t="shared" si="62"/>
        <v>0</v>
      </c>
      <c r="Z272" s="307">
        <f t="shared" si="63"/>
        <v>40</v>
      </c>
      <c r="AA272" s="291"/>
      <c r="AB272" s="201">
        <v>10</v>
      </c>
      <c r="AC272" s="63" t="str">
        <f t="shared" si="64"/>
        <v>વેકરીયા વિશાલકુમાર દિપકભાઇ</v>
      </c>
      <c r="AD272" s="302" t="s">
        <v>91</v>
      </c>
      <c r="AE272" s="303"/>
      <c r="AF272" s="303"/>
      <c r="AG272" s="303"/>
      <c r="AH272" s="303"/>
      <c r="AI272" s="303"/>
      <c r="AJ272" s="303"/>
      <c r="AK272" s="303"/>
      <c r="AL272" s="303"/>
      <c r="AM272" s="303"/>
      <c r="AN272" s="303"/>
      <c r="AO272" s="303"/>
      <c r="AP272" s="303"/>
      <c r="AQ272" s="303"/>
      <c r="AR272" s="303"/>
      <c r="AS272" s="303"/>
      <c r="AT272" s="303"/>
      <c r="AU272" s="303"/>
      <c r="AV272" s="303"/>
      <c r="AW272" s="304"/>
      <c r="AX272" s="305">
        <f t="shared" si="65"/>
        <v>1</v>
      </c>
      <c r="AY272" s="306">
        <f t="shared" si="66"/>
        <v>0</v>
      </c>
      <c r="AZ272" s="306">
        <f t="shared" si="67"/>
        <v>0</v>
      </c>
      <c r="BA272" s="307">
        <f t="shared" si="68"/>
        <v>40</v>
      </c>
      <c r="BB272" s="291"/>
    </row>
    <row r="273" spans="1:54" ht="20.25" customHeight="1">
      <c r="A273" s="201">
        <v>11</v>
      </c>
      <c r="B273" s="63" t="str">
        <f t="shared" si="59"/>
        <v>માણસુરીયા મહેન્દ્રભાઇ ભૂપતભાઇ</v>
      </c>
      <c r="C273" s="302" t="s">
        <v>91</v>
      </c>
      <c r="D273" s="303"/>
      <c r="E273" s="303"/>
      <c r="F273" s="303"/>
      <c r="G273" s="303"/>
      <c r="H273" s="303"/>
      <c r="I273" s="303"/>
      <c r="J273" s="303"/>
      <c r="K273" s="303"/>
      <c r="L273" s="303"/>
      <c r="M273" s="303"/>
      <c r="N273" s="303"/>
      <c r="O273" s="303"/>
      <c r="P273" s="303"/>
      <c r="Q273" s="303"/>
      <c r="R273" s="303"/>
      <c r="S273" s="303"/>
      <c r="T273" s="303"/>
      <c r="U273" s="303"/>
      <c r="V273" s="304"/>
      <c r="W273" s="305">
        <f t="shared" si="60"/>
        <v>1</v>
      </c>
      <c r="X273" s="306">
        <f t="shared" si="61"/>
        <v>0</v>
      </c>
      <c r="Y273" s="306">
        <f t="shared" si="62"/>
        <v>0</v>
      </c>
      <c r="Z273" s="307">
        <f t="shared" si="63"/>
        <v>40</v>
      </c>
      <c r="AA273" s="291"/>
      <c r="AB273" s="201">
        <v>11</v>
      </c>
      <c r="AC273" s="63" t="str">
        <f t="shared" si="64"/>
        <v>માણસુરીયા મહેન્દ્રભાઇ ભૂપતભાઇ</v>
      </c>
      <c r="AD273" s="302" t="s">
        <v>91</v>
      </c>
      <c r="AE273" s="303"/>
      <c r="AF273" s="303"/>
      <c r="AG273" s="303"/>
      <c r="AH273" s="303"/>
      <c r="AI273" s="303"/>
      <c r="AJ273" s="303"/>
      <c r="AK273" s="303"/>
      <c r="AL273" s="303"/>
      <c r="AM273" s="303"/>
      <c r="AN273" s="303"/>
      <c r="AO273" s="303"/>
      <c r="AP273" s="303"/>
      <c r="AQ273" s="303"/>
      <c r="AR273" s="303"/>
      <c r="AS273" s="303"/>
      <c r="AT273" s="303"/>
      <c r="AU273" s="303"/>
      <c r="AV273" s="303"/>
      <c r="AW273" s="304"/>
      <c r="AX273" s="305">
        <f t="shared" si="65"/>
        <v>1</v>
      </c>
      <c r="AY273" s="306">
        <f t="shared" si="66"/>
        <v>0</v>
      </c>
      <c r="AZ273" s="306">
        <f t="shared" si="67"/>
        <v>0</v>
      </c>
      <c r="BA273" s="307">
        <f t="shared" si="68"/>
        <v>40</v>
      </c>
      <c r="BB273" s="291"/>
    </row>
    <row r="274" spans="1:54" ht="20.25" customHeight="1">
      <c r="A274" s="201">
        <v>12</v>
      </c>
      <c r="B274" s="63" t="str">
        <f t="shared" si="59"/>
        <v>પરમાર અજયકુમાર રમેશભાઇ</v>
      </c>
      <c r="C274" s="302" t="s">
        <v>91</v>
      </c>
      <c r="D274" s="303"/>
      <c r="E274" s="303"/>
      <c r="F274" s="303"/>
      <c r="G274" s="303"/>
      <c r="H274" s="303"/>
      <c r="I274" s="303"/>
      <c r="J274" s="303"/>
      <c r="K274" s="303"/>
      <c r="L274" s="303"/>
      <c r="M274" s="303"/>
      <c r="N274" s="303"/>
      <c r="O274" s="303"/>
      <c r="P274" s="303"/>
      <c r="Q274" s="303"/>
      <c r="R274" s="303"/>
      <c r="S274" s="303"/>
      <c r="T274" s="303"/>
      <c r="U274" s="303"/>
      <c r="V274" s="304"/>
      <c r="W274" s="305">
        <f t="shared" si="60"/>
        <v>1</v>
      </c>
      <c r="X274" s="306">
        <f t="shared" si="61"/>
        <v>0</v>
      </c>
      <c r="Y274" s="306">
        <f t="shared" si="62"/>
        <v>0</v>
      </c>
      <c r="Z274" s="307">
        <f t="shared" si="63"/>
        <v>40</v>
      </c>
      <c r="AA274" s="291"/>
      <c r="AB274" s="201">
        <v>12</v>
      </c>
      <c r="AC274" s="63" t="str">
        <f t="shared" si="64"/>
        <v>પરમાર અજયકુમાર રમેશભાઇ</v>
      </c>
      <c r="AD274" s="302" t="s">
        <v>91</v>
      </c>
      <c r="AE274" s="303"/>
      <c r="AF274" s="303"/>
      <c r="AG274" s="303"/>
      <c r="AH274" s="303"/>
      <c r="AI274" s="303"/>
      <c r="AJ274" s="303"/>
      <c r="AK274" s="303"/>
      <c r="AL274" s="303"/>
      <c r="AM274" s="303"/>
      <c r="AN274" s="303"/>
      <c r="AO274" s="303"/>
      <c r="AP274" s="303"/>
      <c r="AQ274" s="303"/>
      <c r="AR274" s="303"/>
      <c r="AS274" s="303"/>
      <c r="AT274" s="303"/>
      <c r="AU274" s="303"/>
      <c r="AV274" s="303"/>
      <c r="AW274" s="304"/>
      <c r="AX274" s="305">
        <f t="shared" si="65"/>
        <v>1</v>
      </c>
      <c r="AY274" s="306">
        <f t="shared" si="66"/>
        <v>0</v>
      </c>
      <c r="AZ274" s="306">
        <f t="shared" si="67"/>
        <v>0</v>
      </c>
      <c r="BA274" s="307">
        <f t="shared" si="68"/>
        <v>40</v>
      </c>
      <c r="BB274" s="291"/>
    </row>
    <row r="275" spans="1:54" ht="20.25" customHeight="1">
      <c r="A275" s="201">
        <v>13</v>
      </c>
      <c r="B275" s="63" t="str">
        <f t="shared" si="59"/>
        <v>કંડોળીયા અલ્પેશકુમાર ભરતભાઇ</v>
      </c>
      <c r="C275" s="302" t="s">
        <v>92</v>
      </c>
      <c r="D275" s="303"/>
      <c r="E275" s="303"/>
      <c r="F275" s="303"/>
      <c r="G275" s="303"/>
      <c r="H275" s="303"/>
      <c r="I275" s="303"/>
      <c r="J275" s="303"/>
      <c r="K275" s="303"/>
      <c r="L275" s="303"/>
      <c r="M275" s="303"/>
      <c r="N275" s="303"/>
      <c r="O275" s="303"/>
      <c r="P275" s="303"/>
      <c r="Q275" s="303"/>
      <c r="R275" s="303"/>
      <c r="S275" s="303"/>
      <c r="T275" s="303"/>
      <c r="U275" s="303"/>
      <c r="V275" s="304"/>
      <c r="W275" s="305">
        <f t="shared" si="60"/>
        <v>0</v>
      </c>
      <c r="X275" s="306">
        <f t="shared" si="61"/>
        <v>1</v>
      </c>
      <c r="Y275" s="306">
        <f t="shared" si="62"/>
        <v>0</v>
      </c>
      <c r="Z275" s="307">
        <f t="shared" si="63"/>
        <v>0</v>
      </c>
      <c r="AA275" s="291"/>
      <c r="AB275" s="201">
        <v>13</v>
      </c>
      <c r="AC275" s="63" t="str">
        <f t="shared" si="64"/>
        <v>કંડોળીયા અલ્પેશકુમાર ભરતભાઇ</v>
      </c>
      <c r="AD275" s="302" t="s">
        <v>92</v>
      </c>
      <c r="AE275" s="303"/>
      <c r="AF275" s="303"/>
      <c r="AG275" s="303"/>
      <c r="AH275" s="303"/>
      <c r="AI275" s="303"/>
      <c r="AJ275" s="303"/>
      <c r="AK275" s="303"/>
      <c r="AL275" s="303"/>
      <c r="AM275" s="303"/>
      <c r="AN275" s="303"/>
      <c r="AO275" s="303"/>
      <c r="AP275" s="303"/>
      <c r="AQ275" s="303"/>
      <c r="AR275" s="303"/>
      <c r="AS275" s="303"/>
      <c r="AT275" s="303"/>
      <c r="AU275" s="303"/>
      <c r="AV275" s="303"/>
      <c r="AW275" s="304"/>
      <c r="AX275" s="305">
        <f t="shared" si="65"/>
        <v>0</v>
      </c>
      <c r="AY275" s="306">
        <f t="shared" si="66"/>
        <v>1</v>
      </c>
      <c r="AZ275" s="306">
        <f t="shared" si="67"/>
        <v>0</v>
      </c>
      <c r="BA275" s="307">
        <f t="shared" si="68"/>
        <v>0</v>
      </c>
      <c r="BB275" s="291"/>
    </row>
    <row r="276" spans="1:54" ht="20.25" customHeight="1">
      <c r="A276" s="201">
        <v>14</v>
      </c>
      <c r="B276" s="63" t="str">
        <f t="shared" si="59"/>
        <v>મકવાણા તરંગકુમાર કિશોરભાઇ</v>
      </c>
      <c r="C276" s="302" t="s">
        <v>91</v>
      </c>
      <c r="D276" s="303"/>
      <c r="E276" s="303"/>
      <c r="F276" s="303"/>
      <c r="G276" s="303"/>
      <c r="H276" s="303"/>
      <c r="I276" s="303"/>
      <c r="J276" s="303"/>
      <c r="K276" s="303"/>
      <c r="L276" s="303"/>
      <c r="M276" s="303"/>
      <c r="N276" s="303"/>
      <c r="O276" s="303"/>
      <c r="P276" s="303"/>
      <c r="Q276" s="303"/>
      <c r="R276" s="303"/>
      <c r="S276" s="303"/>
      <c r="T276" s="303"/>
      <c r="U276" s="303"/>
      <c r="V276" s="304"/>
      <c r="W276" s="305">
        <f t="shared" si="60"/>
        <v>1</v>
      </c>
      <c r="X276" s="306">
        <f t="shared" si="61"/>
        <v>0</v>
      </c>
      <c r="Y276" s="306">
        <f t="shared" si="62"/>
        <v>0</v>
      </c>
      <c r="Z276" s="307">
        <f t="shared" si="63"/>
        <v>40</v>
      </c>
      <c r="AA276" s="291"/>
      <c r="AB276" s="201">
        <v>14</v>
      </c>
      <c r="AC276" s="63" t="str">
        <f t="shared" si="64"/>
        <v>મકવાણા તરંગકુમાર કિશોરભાઇ</v>
      </c>
      <c r="AD276" s="302" t="s">
        <v>91</v>
      </c>
      <c r="AE276" s="303"/>
      <c r="AF276" s="303"/>
      <c r="AG276" s="303"/>
      <c r="AH276" s="303"/>
      <c r="AI276" s="303"/>
      <c r="AJ276" s="303"/>
      <c r="AK276" s="303"/>
      <c r="AL276" s="303"/>
      <c r="AM276" s="303"/>
      <c r="AN276" s="303"/>
      <c r="AO276" s="303"/>
      <c r="AP276" s="303"/>
      <c r="AQ276" s="303"/>
      <c r="AR276" s="303"/>
      <c r="AS276" s="303"/>
      <c r="AT276" s="303"/>
      <c r="AU276" s="303"/>
      <c r="AV276" s="303"/>
      <c r="AW276" s="304"/>
      <c r="AX276" s="305">
        <f t="shared" si="65"/>
        <v>1</v>
      </c>
      <c r="AY276" s="306">
        <f t="shared" si="66"/>
        <v>0</v>
      </c>
      <c r="AZ276" s="306">
        <f t="shared" si="67"/>
        <v>0</v>
      </c>
      <c r="BA276" s="307">
        <f t="shared" si="68"/>
        <v>40</v>
      </c>
      <c r="BB276" s="291"/>
    </row>
    <row r="277" spans="1:54" ht="20.25" customHeight="1">
      <c r="A277" s="201">
        <v>15</v>
      </c>
      <c r="B277" s="63" t="str">
        <f t="shared" si="59"/>
        <v>ઢીમેચા સતીષ હનુભાઇ</v>
      </c>
      <c r="C277" s="302" t="s">
        <v>91</v>
      </c>
      <c r="D277" s="303"/>
      <c r="E277" s="303"/>
      <c r="F277" s="303"/>
      <c r="G277" s="303"/>
      <c r="H277" s="303"/>
      <c r="I277" s="303"/>
      <c r="J277" s="303"/>
      <c r="K277" s="303"/>
      <c r="L277" s="303"/>
      <c r="M277" s="303"/>
      <c r="N277" s="303"/>
      <c r="O277" s="303"/>
      <c r="P277" s="303"/>
      <c r="Q277" s="303"/>
      <c r="R277" s="303"/>
      <c r="S277" s="303"/>
      <c r="T277" s="303"/>
      <c r="U277" s="303"/>
      <c r="V277" s="304"/>
      <c r="W277" s="305">
        <f t="shared" si="60"/>
        <v>1</v>
      </c>
      <c r="X277" s="306">
        <f t="shared" si="61"/>
        <v>0</v>
      </c>
      <c r="Y277" s="306">
        <f t="shared" si="62"/>
        <v>0</v>
      </c>
      <c r="Z277" s="307">
        <f t="shared" si="63"/>
        <v>40</v>
      </c>
      <c r="AA277" s="291"/>
      <c r="AB277" s="201">
        <v>15</v>
      </c>
      <c r="AC277" s="63" t="str">
        <f t="shared" si="64"/>
        <v>ઢીમેચા સતીષ હનુભાઇ</v>
      </c>
      <c r="AD277" s="302" t="s">
        <v>91</v>
      </c>
      <c r="AE277" s="303"/>
      <c r="AF277" s="303"/>
      <c r="AG277" s="303"/>
      <c r="AH277" s="303"/>
      <c r="AI277" s="303"/>
      <c r="AJ277" s="303"/>
      <c r="AK277" s="303"/>
      <c r="AL277" s="303"/>
      <c r="AM277" s="303"/>
      <c r="AN277" s="303"/>
      <c r="AO277" s="303"/>
      <c r="AP277" s="303"/>
      <c r="AQ277" s="303"/>
      <c r="AR277" s="303"/>
      <c r="AS277" s="303"/>
      <c r="AT277" s="303"/>
      <c r="AU277" s="303"/>
      <c r="AV277" s="303"/>
      <c r="AW277" s="304"/>
      <c r="AX277" s="305">
        <f t="shared" si="65"/>
        <v>1</v>
      </c>
      <c r="AY277" s="306">
        <f t="shared" si="66"/>
        <v>0</v>
      </c>
      <c r="AZ277" s="306">
        <f t="shared" si="67"/>
        <v>0</v>
      </c>
      <c r="BA277" s="307">
        <f t="shared" si="68"/>
        <v>40</v>
      </c>
      <c r="BB277" s="291"/>
    </row>
    <row r="278" spans="1:54" ht="20.25" customHeight="1">
      <c r="A278" s="201">
        <v>16</v>
      </c>
      <c r="B278" s="63" t="str">
        <f t="shared" si="59"/>
        <v>ખુમાણ શિવરાજભાઇ બાબુભાઇ</v>
      </c>
      <c r="C278" s="302" t="s">
        <v>91</v>
      </c>
      <c r="D278" s="303"/>
      <c r="E278" s="303"/>
      <c r="F278" s="303"/>
      <c r="G278" s="303"/>
      <c r="H278" s="303"/>
      <c r="I278" s="303"/>
      <c r="J278" s="303"/>
      <c r="K278" s="303"/>
      <c r="L278" s="303"/>
      <c r="M278" s="303"/>
      <c r="N278" s="303"/>
      <c r="O278" s="303"/>
      <c r="P278" s="303"/>
      <c r="Q278" s="303"/>
      <c r="R278" s="303"/>
      <c r="S278" s="303"/>
      <c r="T278" s="303"/>
      <c r="U278" s="303"/>
      <c r="V278" s="304"/>
      <c r="W278" s="305">
        <f t="shared" si="60"/>
        <v>1</v>
      </c>
      <c r="X278" s="306">
        <f t="shared" si="61"/>
        <v>0</v>
      </c>
      <c r="Y278" s="306">
        <f t="shared" si="62"/>
        <v>0</v>
      </c>
      <c r="Z278" s="307">
        <f t="shared" si="63"/>
        <v>40</v>
      </c>
      <c r="AA278" s="291"/>
      <c r="AB278" s="201">
        <v>16</v>
      </c>
      <c r="AC278" s="63" t="str">
        <f t="shared" si="64"/>
        <v>ખુમાણ શિવરાજભાઇ બાબુભાઇ</v>
      </c>
      <c r="AD278" s="302" t="s">
        <v>91</v>
      </c>
      <c r="AE278" s="303"/>
      <c r="AF278" s="303"/>
      <c r="AG278" s="303"/>
      <c r="AH278" s="303"/>
      <c r="AI278" s="303"/>
      <c r="AJ278" s="303"/>
      <c r="AK278" s="303"/>
      <c r="AL278" s="303"/>
      <c r="AM278" s="303"/>
      <c r="AN278" s="303"/>
      <c r="AO278" s="303"/>
      <c r="AP278" s="303"/>
      <c r="AQ278" s="303"/>
      <c r="AR278" s="303"/>
      <c r="AS278" s="303"/>
      <c r="AT278" s="303"/>
      <c r="AU278" s="303"/>
      <c r="AV278" s="303"/>
      <c r="AW278" s="304"/>
      <c r="AX278" s="305">
        <f t="shared" si="65"/>
        <v>1</v>
      </c>
      <c r="AY278" s="306">
        <f t="shared" si="66"/>
        <v>0</v>
      </c>
      <c r="AZ278" s="306">
        <f t="shared" si="67"/>
        <v>0</v>
      </c>
      <c r="BA278" s="307">
        <f t="shared" si="68"/>
        <v>40</v>
      </c>
      <c r="BB278" s="291"/>
    </row>
    <row r="279" spans="1:54" ht="20.25" customHeight="1">
      <c r="A279" s="201">
        <v>17</v>
      </c>
      <c r="B279" s="63" t="str">
        <f t="shared" si="59"/>
        <v>માથાસુરીયા દિનેશભાઇ અમરાભાઇ</v>
      </c>
      <c r="C279" s="302" t="s">
        <v>91</v>
      </c>
      <c r="D279" s="303"/>
      <c r="E279" s="303"/>
      <c r="F279" s="303"/>
      <c r="G279" s="303"/>
      <c r="H279" s="303"/>
      <c r="I279" s="303"/>
      <c r="J279" s="303"/>
      <c r="K279" s="303"/>
      <c r="L279" s="303"/>
      <c r="M279" s="303"/>
      <c r="N279" s="303"/>
      <c r="O279" s="303"/>
      <c r="P279" s="303"/>
      <c r="Q279" s="303"/>
      <c r="R279" s="303"/>
      <c r="S279" s="303"/>
      <c r="T279" s="303"/>
      <c r="U279" s="303"/>
      <c r="V279" s="304"/>
      <c r="W279" s="305">
        <f t="shared" si="60"/>
        <v>1</v>
      </c>
      <c r="X279" s="306">
        <f t="shared" si="61"/>
        <v>0</v>
      </c>
      <c r="Y279" s="306">
        <f t="shared" si="62"/>
        <v>0</v>
      </c>
      <c r="Z279" s="307">
        <f t="shared" si="63"/>
        <v>40</v>
      </c>
      <c r="AA279" s="291"/>
      <c r="AB279" s="201">
        <v>17</v>
      </c>
      <c r="AC279" s="63" t="str">
        <f t="shared" si="64"/>
        <v>માથાસુરીયા દિનેશભાઇ અમરાભાઇ</v>
      </c>
      <c r="AD279" s="302" t="s">
        <v>91</v>
      </c>
      <c r="AE279" s="303"/>
      <c r="AF279" s="303"/>
      <c r="AG279" s="303"/>
      <c r="AH279" s="303"/>
      <c r="AI279" s="303"/>
      <c r="AJ279" s="303"/>
      <c r="AK279" s="303"/>
      <c r="AL279" s="303"/>
      <c r="AM279" s="303"/>
      <c r="AN279" s="303"/>
      <c r="AO279" s="303"/>
      <c r="AP279" s="303"/>
      <c r="AQ279" s="303"/>
      <c r="AR279" s="303"/>
      <c r="AS279" s="303"/>
      <c r="AT279" s="303"/>
      <c r="AU279" s="303"/>
      <c r="AV279" s="303"/>
      <c r="AW279" s="304"/>
      <c r="AX279" s="305">
        <f t="shared" si="65"/>
        <v>1</v>
      </c>
      <c r="AY279" s="306">
        <f t="shared" si="66"/>
        <v>0</v>
      </c>
      <c r="AZ279" s="306">
        <f t="shared" si="67"/>
        <v>0</v>
      </c>
      <c r="BA279" s="307">
        <f t="shared" si="68"/>
        <v>40</v>
      </c>
      <c r="BB279" s="291"/>
    </row>
    <row r="280" spans="1:54" ht="20.25" customHeight="1">
      <c r="A280" s="201">
        <v>18</v>
      </c>
      <c r="B280" s="63" t="str">
        <f t="shared" si="59"/>
        <v>વાઘેલા હરેશ જીલુભાઇ</v>
      </c>
      <c r="C280" s="302" t="s">
        <v>91</v>
      </c>
      <c r="D280" s="303"/>
      <c r="E280" s="303"/>
      <c r="F280" s="303"/>
      <c r="G280" s="303"/>
      <c r="H280" s="303"/>
      <c r="I280" s="303"/>
      <c r="J280" s="303"/>
      <c r="K280" s="303"/>
      <c r="L280" s="303"/>
      <c r="M280" s="303"/>
      <c r="N280" s="303"/>
      <c r="O280" s="303"/>
      <c r="P280" s="303"/>
      <c r="Q280" s="303"/>
      <c r="R280" s="303"/>
      <c r="S280" s="303"/>
      <c r="T280" s="303"/>
      <c r="U280" s="303"/>
      <c r="V280" s="304"/>
      <c r="W280" s="305">
        <f t="shared" si="60"/>
        <v>1</v>
      </c>
      <c r="X280" s="306">
        <f t="shared" si="61"/>
        <v>0</v>
      </c>
      <c r="Y280" s="306">
        <f t="shared" si="62"/>
        <v>0</v>
      </c>
      <c r="Z280" s="307">
        <f t="shared" si="63"/>
        <v>40</v>
      </c>
      <c r="AA280" s="291"/>
      <c r="AB280" s="201">
        <v>18</v>
      </c>
      <c r="AC280" s="63" t="str">
        <f t="shared" si="64"/>
        <v>વાઘેલા હરેશ જીલુભાઇ</v>
      </c>
      <c r="AD280" s="302" t="s">
        <v>91</v>
      </c>
      <c r="AE280" s="303"/>
      <c r="AF280" s="303"/>
      <c r="AG280" s="303"/>
      <c r="AH280" s="303"/>
      <c r="AI280" s="303"/>
      <c r="AJ280" s="303"/>
      <c r="AK280" s="303"/>
      <c r="AL280" s="303"/>
      <c r="AM280" s="303"/>
      <c r="AN280" s="303"/>
      <c r="AO280" s="303"/>
      <c r="AP280" s="303"/>
      <c r="AQ280" s="303"/>
      <c r="AR280" s="303"/>
      <c r="AS280" s="303"/>
      <c r="AT280" s="303"/>
      <c r="AU280" s="303"/>
      <c r="AV280" s="303"/>
      <c r="AW280" s="304"/>
      <c r="AX280" s="305">
        <f t="shared" si="65"/>
        <v>1</v>
      </c>
      <c r="AY280" s="306">
        <f t="shared" si="66"/>
        <v>0</v>
      </c>
      <c r="AZ280" s="306">
        <f t="shared" si="67"/>
        <v>0</v>
      </c>
      <c r="BA280" s="307">
        <f t="shared" si="68"/>
        <v>40</v>
      </c>
      <c r="BB280" s="291"/>
    </row>
    <row r="281" spans="1:54" ht="20.25" customHeight="1">
      <c r="A281" s="201">
        <v>19</v>
      </c>
      <c r="B281" s="63" t="str">
        <f t="shared" si="59"/>
        <v>પરમાર દિલીપકુમાર મધુભાઇ</v>
      </c>
      <c r="C281" s="302" t="s">
        <v>91</v>
      </c>
      <c r="D281" s="303"/>
      <c r="E281" s="303"/>
      <c r="F281" s="303"/>
      <c r="G281" s="303"/>
      <c r="H281" s="303"/>
      <c r="I281" s="303"/>
      <c r="J281" s="303"/>
      <c r="K281" s="303"/>
      <c r="L281" s="303"/>
      <c r="M281" s="303"/>
      <c r="N281" s="303"/>
      <c r="O281" s="303"/>
      <c r="P281" s="303"/>
      <c r="Q281" s="303"/>
      <c r="R281" s="303"/>
      <c r="S281" s="303"/>
      <c r="T281" s="303"/>
      <c r="U281" s="303"/>
      <c r="V281" s="304"/>
      <c r="W281" s="305">
        <f t="shared" si="60"/>
        <v>1</v>
      </c>
      <c r="X281" s="306">
        <f t="shared" si="61"/>
        <v>0</v>
      </c>
      <c r="Y281" s="306">
        <f t="shared" si="62"/>
        <v>0</v>
      </c>
      <c r="Z281" s="307">
        <f t="shared" si="63"/>
        <v>40</v>
      </c>
      <c r="AA281" s="291"/>
      <c r="AB281" s="201">
        <v>19</v>
      </c>
      <c r="AC281" s="63" t="str">
        <f t="shared" si="64"/>
        <v>પરમાર દિલીપકુમાર મધુભાઇ</v>
      </c>
      <c r="AD281" s="302" t="s">
        <v>91</v>
      </c>
      <c r="AE281" s="303"/>
      <c r="AF281" s="303"/>
      <c r="AG281" s="303"/>
      <c r="AH281" s="303"/>
      <c r="AI281" s="303"/>
      <c r="AJ281" s="303"/>
      <c r="AK281" s="303"/>
      <c r="AL281" s="303"/>
      <c r="AM281" s="303"/>
      <c r="AN281" s="303"/>
      <c r="AO281" s="303"/>
      <c r="AP281" s="303"/>
      <c r="AQ281" s="303"/>
      <c r="AR281" s="303"/>
      <c r="AS281" s="303"/>
      <c r="AT281" s="303"/>
      <c r="AU281" s="303"/>
      <c r="AV281" s="303"/>
      <c r="AW281" s="304"/>
      <c r="AX281" s="305">
        <f t="shared" si="65"/>
        <v>1</v>
      </c>
      <c r="AY281" s="306">
        <f t="shared" si="66"/>
        <v>0</v>
      </c>
      <c r="AZ281" s="306">
        <f t="shared" si="67"/>
        <v>0</v>
      </c>
      <c r="BA281" s="307">
        <f t="shared" si="68"/>
        <v>40</v>
      </c>
      <c r="BB281" s="291"/>
    </row>
    <row r="282" spans="1:54" ht="20.25" customHeight="1">
      <c r="A282" s="201">
        <v>20</v>
      </c>
      <c r="B282" s="63" t="str">
        <f t="shared" si="59"/>
        <v>વિરપરા કૃણાલ હરેશભાઇ</v>
      </c>
      <c r="C282" s="302" t="s">
        <v>91</v>
      </c>
      <c r="D282" s="303"/>
      <c r="E282" s="303"/>
      <c r="F282" s="303"/>
      <c r="G282" s="303"/>
      <c r="H282" s="303"/>
      <c r="I282" s="303"/>
      <c r="J282" s="303"/>
      <c r="K282" s="303"/>
      <c r="L282" s="303"/>
      <c r="M282" s="303"/>
      <c r="N282" s="303"/>
      <c r="O282" s="303"/>
      <c r="P282" s="303"/>
      <c r="Q282" s="303"/>
      <c r="R282" s="303"/>
      <c r="S282" s="303"/>
      <c r="T282" s="303"/>
      <c r="U282" s="303"/>
      <c r="V282" s="304"/>
      <c r="W282" s="305">
        <f t="shared" si="60"/>
        <v>1</v>
      </c>
      <c r="X282" s="306">
        <f t="shared" si="61"/>
        <v>0</v>
      </c>
      <c r="Y282" s="306">
        <f t="shared" si="62"/>
        <v>0</v>
      </c>
      <c r="Z282" s="307">
        <f t="shared" si="63"/>
        <v>40</v>
      </c>
      <c r="AA282" s="291"/>
      <c r="AB282" s="201">
        <v>20</v>
      </c>
      <c r="AC282" s="63" t="str">
        <f t="shared" si="64"/>
        <v>વિરપરા કૃણાલ હરેશભાઇ</v>
      </c>
      <c r="AD282" s="302" t="s">
        <v>91</v>
      </c>
      <c r="AE282" s="303"/>
      <c r="AF282" s="303"/>
      <c r="AG282" s="303"/>
      <c r="AH282" s="303"/>
      <c r="AI282" s="303"/>
      <c r="AJ282" s="303"/>
      <c r="AK282" s="303"/>
      <c r="AL282" s="303"/>
      <c r="AM282" s="303"/>
      <c r="AN282" s="303"/>
      <c r="AO282" s="303"/>
      <c r="AP282" s="303"/>
      <c r="AQ282" s="303"/>
      <c r="AR282" s="303"/>
      <c r="AS282" s="303"/>
      <c r="AT282" s="303"/>
      <c r="AU282" s="303"/>
      <c r="AV282" s="303"/>
      <c r="AW282" s="304"/>
      <c r="AX282" s="305">
        <f t="shared" si="65"/>
        <v>1</v>
      </c>
      <c r="AY282" s="306">
        <f t="shared" si="66"/>
        <v>0</v>
      </c>
      <c r="AZ282" s="306">
        <f t="shared" si="67"/>
        <v>0</v>
      </c>
      <c r="BA282" s="307">
        <f t="shared" si="68"/>
        <v>40</v>
      </c>
      <c r="BB282" s="291"/>
    </row>
    <row r="283" spans="1:54" ht="20.25" customHeight="1">
      <c r="A283" s="201">
        <v>21</v>
      </c>
      <c r="B283" s="63" t="str">
        <f t="shared" si="59"/>
        <v>મકરૂબિયા જીજ્ઞેશભાઇ અશોકભાઇ</v>
      </c>
      <c r="C283" s="302" t="s">
        <v>91</v>
      </c>
      <c r="D283" s="303"/>
      <c r="E283" s="303"/>
      <c r="F283" s="303"/>
      <c r="G283" s="303"/>
      <c r="H283" s="303"/>
      <c r="I283" s="303"/>
      <c r="J283" s="303"/>
      <c r="K283" s="303"/>
      <c r="L283" s="303"/>
      <c r="M283" s="303"/>
      <c r="N283" s="303"/>
      <c r="O283" s="303"/>
      <c r="P283" s="303"/>
      <c r="Q283" s="303"/>
      <c r="R283" s="303"/>
      <c r="S283" s="303"/>
      <c r="T283" s="303"/>
      <c r="U283" s="303"/>
      <c r="V283" s="304"/>
      <c r="W283" s="305">
        <f t="shared" si="60"/>
        <v>1</v>
      </c>
      <c r="X283" s="306">
        <f t="shared" si="61"/>
        <v>0</v>
      </c>
      <c r="Y283" s="306">
        <f t="shared" si="62"/>
        <v>0</v>
      </c>
      <c r="Z283" s="307">
        <f t="shared" si="63"/>
        <v>40</v>
      </c>
      <c r="AA283" s="291"/>
      <c r="AB283" s="201">
        <v>21</v>
      </c>
      <c r="AC283" s="63" t="str">
        <f t="shared" si="64"/>
        <v>મકરૂબિયા જીજ્ઞેશભાઇ અશોકભાઇ</v>
      </c>
      <c r="AD283" s="302" t="s">
        <v>91</v>
      </c>
      <c r="AE283" s="303"/>
      <c r="AF283" s="303"/>
      <c r="AG283" s="303"/>
      <c r="AH283" s="303"/>
      <c r="AI283" s="303"/>
      <c r="AJ283" s="303"/>
      <c r="AK283" s="303"/>
      <c r="AL283" s="303"/>
      <c r="AM283" s="303"/>
      <c r="AN283" s="303"/>
      <c r="AO283" s="303"/>
      <c r="AP283" s="303"/>
      <c r="AQ283" s="303"/>
      <c r="AR283" s="303"/>
      <c r="AS283" s="303"/>
      <c r="AT283" s="303"/>
      <c r="AU283" s="303"/>
      <c r="AV283" s="303"/>
      <c r="AW283" s="304"/>
      <c r="AX283" s="305">
        <f t="shared" si="65"/>
        <v>1</v>
      </c>
      <c r="AY283" s="306">
        <f t="shared" si="66"/>
        <v>0</v>
      </c>
      <c r="AZ283" s="306">
        <f t="shared" si="67"/>
        <v>0</v>
      </c>
      <c r="BA283" s="307">
        <f t="shared" si="68"/>
        <v>40</v>
      </c>
      <c r="BB283" s="291"/>
    </row>
    <row r="284" spans="1:54" ht="20.25" customHeight="1">
      <c r="A284" s="201">
        <v>22</v>
      </c>
      <c r="B284" s="63" t="str">
        <f t="shared" si="59"/>
        <v>ખિમસુરીયા જ્યોત્સના મુકેશભાઇ</v>
      </c>
      <c r="C284" s="302" t="s">
        <v>91</v>
      </c>
      <c r="D284" s="303"/>
      <c r="E284" s="303"/>
      <c r="F284" s="303"/>
      <c r="G284" s="303"/>
      <c r="H284" s="303"/>
      <c r="I284" s="303"/>
      <c r="J284" s="303"/>
      <c r="K284" s="303"/>
      <c r="L284" s="303"/>
      <c r="M284" s="303"/>
      <c r="N284" s="303"/>
      <c r="O284" s="303"/>
      <c r="P284" s="303"/>
      <c r="Q284" s="303"/>
      <c r="R284" s="303"/>
      <c r="S284" s="303"/>
      <c r="T284" s="303"/>
      <c r="U284" s="303"/>
      <c r="V284" s="304"/>
      <c r="W284" s="305">
        <f t="shared" si="60"/>
        <v>1</v>
      </c>
      <c r="X284" s="306">
        <f t="shared" si="61"/>
        <v>0</v>
      </c>
      <c r="Y284" s="306">
        <f t="shared" si="62"/>
        <v>0</v>
      </c>
      <c r="Z284" s="307">
        <f t="shared" si="63"/>
        <v>40</v>
      </c>
      <c r="AA284" s="291"/>
      <c r="AB284" s="201">
        <v>22</v>
      </c>
      <c r="AC284" s="63" t="str">
        <f t="shared" si="64"/>
        <v>ખિમસુરીયા જ્યોત્સના મુકેશભાઇ</v>
      </c>
      <c r="AD284" s="302" t="s">
        <v>91</v>
      </c>
      <c r="AE284" s="303"/>
      <c r="AF284" s="303"/>
      <c r="AG284" s="303"/>
      <c r="AH284" s="303"/>
      <c r="AI284" s="303"/>
      <c r="AJ284" s="303"/>
      <c r="AK284" s="303"/>
      <c r="AL284" s="303"/>
      <c r="AM284" s="303"/>
      <c r="AN284" s="303"/>
      <c r="AO284" s="303"/>
      <c r="AP284" s="303"/>
      <c r="AQ284" s="303"/>
      <c r="AR284" s="303"/>
      <c r="AS284" s="303"/>
      <c r="AT284" s="303"/>
      <c r="AU284" s="303"/>
      <c r="AV284" s="303"/>
      <c r="AW284" s="304"/>
      <c r="AX284" s="305">
        <f t="shared" si="65"/>
        <v>1</v>
      </c>
      <c r="AY284" s="306">
        <f t="shared" si="66"/>
        <v>0</v>
      </c>
      <c r="AZ284" s="306">
        <f t="shared" si="67"/>
        <v>0</v>
      </c>
      <c r="BA284" s="307">
        <f t="shared" si="68"/>
        <v>40</v>
      </c>
      <c r="BB284" s="291"/>
    </row>
    <row r="285" spans="1:54" ht="20.25" customHeight="1">
      <c r="A285" s="201">
        <v>23</v>
      </c>
      <c r="B285" s="63" t="str">
        <f t="shared" si="59"/>
        <v>ગરણિયા રાજલબેન સામતભાઇ</v>
      </c>
      <c r="C285" s="302" t="s">
        <v>91</v>
      </c>
      <c r="D285" s="303"/>
      <c r="E285" s="303"/>
      <c r="F285" s="303"/>
      <c r="G285" s="303"/>
      <c r="H285" s="303"/>
      <c r="I285" s="303"/>
      <c r="J285" s="303"/>
      <c r="K285" s="303"/>
      <c r="L285" s="303"/>
      <c r="M285" s="303"/>
      <c r="N285" s="303"/>
      <c r="O285" s="303"/>
      <c r="P285" s="303"/>
      <c r="Q285" s="303"/>
      <c r="R285" s="303"/>
      <c r="S285" s="303"/>
      <c r="T285" s="303"/>
      <c r="U285" s="303"/>
      <c r="V285" s="304"/>
      <c r="W285" s="305">
        <f t="shared" si="60"/>
        <v>1</v>
      </c>
      <c r="X285" s="306">
        <f t="shared" si="61"/>
        <v>0</v>
      </c>
      <c r="Y285" s="306">
        <f t="shared" si="62"/>
        <v>0</v>
      </c>
      <c r="Z285" s="307">
        <f t="shared" si="63"/>
        <v>40</v>
      </c>
      <c r="AA285" s="291"/>
      <c r="AB285" s="201">
        <v>23</v>
      </c>
      <c r="AC285" s="63" t="str">
        <f t="shared" si="64"/>
        <v>ગરણિયા રાજલબેન સામતભાઇ</v>
      </c>
      <c r="AD285" s="302" t="s">
        <v>91</v>
      </c>
      <c r="AE285" s="303"/>
      <c r="AF285" s="303"/>
      <c r="AG285" s="303"/>
      <c r="AH285" s="303"/>
      <c r="AI285" s="303"/>
      <c r="AJ285" s="303"/>
      <c r="AK285" s="303"/>
      <c r="AL285" s="303"/>
      <c r="AM285" s="303"/>
      <c r="AN285" s="303"/>
      <c r="AO285" s="303"/>
      <c r="AP285" s="303"/>
      <c r="AQ285" s="303"/>
      <c r="AR285" s="303"/>
      <c r="AS285" s="303"/>
      <c r="AT285" s="303"/>
      <c r="AU285" s="303"/>
      <c r="AV285" s="303"/>
      <c r="AW285" s="304"/>
      <c r="AX285" s="305">
        <f t="shared" si="65"/>
        <v>1</v>
      </c>
      <c r="AY285" s="306">
        <f t="shared" si="66"/>
        <v>0</v>
      </c>
      <c r="AZ285" s="306">
        <f t="shared" si="67"/>
        <v>0</v>
      </c>
      <c r="BA285" s="307">
        <f t="shared" si="68"/>
        <v>40</v>
      </c>
      <c r="BB285" s="291"/>
    </row>
    <row r="286" spans="1:54" ht="20.25" customHeight="1">
      <c r="A286" s="201">
        <v>24</v>
      </c>
      <c r="B286" s="63" t="str">
        <f t="shared" si="59"/>
        <v>ગરણિયા નિરાલીબેન પ્રદીપભાઇ</v>
      </c>
      <c r="C286" s="302" t="s">
        <v>91</v>
      </c>
      <c r="D286" s="303"/>
      <c r="E286" s="303"/>
      <c r="F286" s="303"/>
      <c r="G286" s="303"/>
      <c r="H286" s="303"/>
      <c r="I286" s="303"/>
      <c r="J286" s="303"/>
      <c r="K286" s="303"/>
      <c r="L286" s="303"/>
      <c r="M286" s="303"/>
      <c r="N286" s="303"/>
      <c r="O286" s="303"/>
      <c r="P286" s="303"/>
      <c r="Q286" s="303"/>
      <c r="R286" s="303"/>
      <c r="S286" s="303"/>
      <c r="T286" s="303"/>
      <c r="U286" s="303"/>
      <c r="V286" s="304"/>
      <c r="W286" s="305">
        <f t="shared" si="60"/>
        <v>1</v>
      </c>
      <c r="X286" s="306">
        <f t="shared" si="61"/>
        <v>0</v>
      </c>
      <c r="Y286" s="306">
        <f t="shared" si="62"/>
        <v>0</v>
      </c>
      <c r="Z286" s="307">
        <f t="shared" si="63"/>
        <v>40</v>
      </c>
      <c r="AA286" s="291"/>
      <c r="AB286" s="201">
        <v>24</v>
      </c>
      <c r="AC286" s="63" t="str">
        <f t="shared" si="64"/>
        <v>ગરણિયા નિરાલીબેન પ્રદીપભાઇ</v>
      </c>
      <c r="AD286" s="302" t="s">
        <v>91</v>
      </c>
      <c r="AE286" s="303"/>
      <c r="AF286" s="303"/>
      <c r="AG286" s="303"/>
      <c r="AH286" s="303"/>
      <c r="AI286" s="303"/>
      <c r="AJ286" s="303"/>
      <c r="AK286" s="303"/>
      <c r="AL286" s="303"/>
      <c r="AM286" s="303"/>
      <c r="AN286" s="303"/>
      <c r="AO286" s="303"/>
      <c r="AP286" s="303"/>
      <c r="AQ286" s="303"/>
      <c r="AR286" s="303"/>
      <c r="AS286" s="303"/>
      <c r="AT286" s="303"/>
      <c r="AU286" s="303"/>
      <c r="AV286" s="303"/>
      <c r="AW286" s="304"/>
      <c r="AX286" s="305">
        <f t="shared" si="65"/>
        <v>1</v>
      </c>
      <c r="AY286" s="306">
        <f t="shared" si="66"/>
        <v>0</v>
      </c>
      <c r="AZ286" s="306">
        <f t="shared" si="67"/>
        <v>0</v>
      </c>
      <c r="BA286" s="307">
        <f t="shared" si="68"/>
        <v>40</v>
      </c>
      <c r="BB286" s="291"/>
    </row>
    <row r="287" spans="1:54" ht="20.25" customHeight="1">
      <c r="A287" s="201">
        <v>25</v>
      </c>
      <c r="B287" s="63" t="str">
        <f t="shared" si="59"/>
        <v>ગરણિયા રાધાબેન લક્ષ્મણભાઇ</v>
      </c>
      <c r="C287" s="302" t="s">
        <v>91</v>
      </c>
      <c r="D287" s="303"/>
      <c r="E287" s="303"/>
      <c r="F287" s="303"/>
      <c r="G287" s="303"/>
      <c r="H287" s="303"/>
      <c r="I287" s="303"/>
      <c r="J287" s="303"/>
      <c r="K287" s="303"/>
      <c r="L287" s="303"/>
      <c r="M287" s="303"/>
      <c r="N287" s="303"/>
      <c r="O287" s="303"/>
      <c r="P287" s="303"/>
      <c r="Q287" s="303"/>
      <c r="R287" s="303"/>
      <c r="S287" s="303"/>
      <c r="T287" s="303"/>
      <c r="U287" s="303"/>
      <c r="V287" s="304"/>
      <c r="W287" s="305">
        <f t="shared" si="60"/>
        <v>1</v>
      </c>
      <c r="X287" s="306">
        <f t="shared" si="61"/>
        <v>0</v>
      </c>
      <c r="Y287" s="306">
        <f t="shared" si="62"/>
        <v>0</v>
      </c>
      <c r="Z287" s="307">
        <f t="shared" si="63"/>
        <v>40</v>
      </c>
      <c r="AA287" s="291"/>
      <c r="AB287" s="201">
        <v>25</v>
      </c>
      <c r="AC287" s="63" t="str">
        <f t="shared" si="64"/>
        <v>ગરણિયા રાધાબેન લક્ષ્મણભાઇ</v>
      </c>
      <c r="AD287" s="302" t="s">
        <v>91</v>
      </c>
      <c r="AE287" s="303"/>
      <c r="AF287" s="303"/>
      <c r="AG287" s="303"/>
      <c r="AH287" s="303"/>
      <c r="AI287" s="303"/>
      <c r="AJ287" s="303"/>
      <c r="AK287" s="303"/>
      <c r="AL287" s="303"/>
      <c r="AM287" s="303"/>
      <c r="AN287" s="303"/>
      <c r="AO287" s="303"/>
      <c r="AP287" s="303"/>
      <c r="AQ287" s="303"/>
      <c r="AR287" s="303"/>
      <c r="AS287" s="303"/>
      <c r="AT287" s="303"/>
      <c r="AU287" s="303"/>
      <c r="AV287" s="303"/>
      <c r="AW287" s="304"/>
      <c r="AX287" s="305">
        <f t="shared" si="65"/>
        <v>1</v>
      </c>
      <c r="AY287" s="306">
        <f t="shared" si="66"/>
        <v>0</v>
      </c>
      <c r="AZ287" s="306">
        <f t="shared" si="67"/>
        <v>0</v>
      </c>
      <c r="BA287" s="307">
        <f t="shared" si="68"/>
        <v>40</v>
      </c>
      <c r="BB287" s="291"/>
    </row>
    <row r="288" spans="1:54" ht="20.25" customHeight="1">
      <c r="A288" s="201">
        <v>26</v>
      </c>
      <c r="B288" s="63" t="str">
        <f t="shared" si="59"/>
        <v>ગૌસ્વામિ મયુરીબેન રમેશગીરી</v>
      </c>
      <c r="C288" s="302" t="s">
        <v>91</v>
      </c>
      <c r="D288" s="303"/>
      <c r="E288" s="303"/>
      <c r="F288" s="303"/>
      <c r="G288" s="303"/>
      <c r="H288" s="303"/>
      <c r="I288" s="303"/>
      <c r="J288" s="303"/>
      <c r="K288" s="303"/>
      <c r="L288" s="303"/>
      <c r="M288" s="303"/>
      <c r="N288" s="303"/>
      <c r="O288" s="303"/>
      <c r="P288" s="303"/>
      <c r="Q288" s="303"/>
      <c r="R288" s="303"/>
      <c r="S288" s="303"/>
      <c r="T288" s="303"/>
      <c r="U288" s="303"/>
      <c r="V288" s="304"/>
      <c r="W288" s="305">
        <f t="shared" si="60"/>
        <v>1</v>
      </c>
      <c r="X288" s="306">
        <f t="shared" si="61"/>
        <v>0</v>
      </c>
      <c r="Y288" s="306">
        <f t="shared" si="62"/>
        <v>0</v>
      </c>
      <c r="Z288" s="307">
        <f t="shared" si="63"/>
        <v>40</v>
      </c>
      <c r="AA288" s="291"/>
      <c r="AB288" s="201">
        <v>26</v>
      </c>
      <c r="AC288" s="63" t="str">
        <f t="shared" si="64"/>
        <v>ગૌસ્વામિ મયુરીબેન રમેશગીરી</v>
      </c>
      <c r="AD288" s="302" t="s">
        <v>91</v>
      </c>
      <c r="AE288" s="303"/>
      <c r="AF288" s="303"/>
      <c r="AG288" s="303"/>
      <c r="AH288" s="303"/>
      <c r="AI288" s="303"/>
      <c r="AJ288" s="303"/>
      <c r="AK288" s="303"/>
      <c r="AL288" s="303"/>
      <c r="AM288" s="303"/>
      <c r="AN288" s="303"/>
      <c r="AO288" s="303"/>
      <c r="AP288" s="303"/>
      <c r="AQ288" s="303"/>
      <c r="AR288" s="303"/>
      <c r="AS288" s="303"/>
      <c r="AT288" s="303"/>
      <c r="AU288" s="303"/>
      <c r="AV288" s="303"/>
      <c r="AW288" s="304"/>
      <c r="AX288" s="305">
        <f t="shared" si="65"/>
        <v>1</v>
      </c>
      <c r="AY288" s="306">
        <f t="shared" si="66"/>
        <v>0</v>
      </c>
      <c r="AZ288" s="306">
        <f t="shared" si="67"/>
        <v>0</v>
      </c>
      <c r="BA288" s="307">
        <f t="shared" si="68"/>
        <v>40</v>
      </c>
      <c r="BB288" s="291"/>
    </row>
    <row r="289" spans="1:54" ht="20.25" customHeight="1">
      <c r="A289" s="201">
        <v>27</v>
      </c>
      <c r="B289" s="63" t="str">
        <f t="shared" si="59"/>
        <v>બતાડા જાનકી વાલાભાઇ</v>
      </c>
      <c r="C289" s="302" t="s">
        <v>91</v>
      </c>
      <c r="D289" s="303"/>
      <c r="E289" s="303"/>
      <c r="F289" s="303"/>
      <c r="G289" s="303"/>
      <c r="H289" s="303"/>
      <c r="I289" s="303"/>
      <c r="J289" s="303"/>
      <c r="K289" s="303"/>
      <c r="L289" s="303"/>
      <c r="M289" s="303"/>
      <c r="N289" s="303"/>
      <c r="O289" s="303"/>
      <c r="P289" s="303"/>
      <c r="Q289" s="303"/>
      <c r="R289" s="303"/>
      <c r="S289" s="303"/>
      <c r="T289" s="303"/>
      <c r="U289" s="303"/>
      <c r="V289" s="304"/>
      <c r="W289" s="305">
        <f t="shared" si="60"/>
        <v>1</v>
      </c>
      <c r="X289" s="306">
        <f t="shared" si="61"/>
        <v>0</v>
      </c>
      <c r="Y289" s="306">
        <f t="shared" si="62"/>
        <v>0</v>
      </c>
      <c r="Z289" s="307">
        <f t="shared" si="63"/>
        <v>40</v>
      </c>
      <c r="AA289" s="291"/>
      <c r="AB289" s="201">
        <v>27</v>
      </c>
      <c r="AC289" s="63" t="str">
        <f t="shared" si="64"/>
        <v>બતાડા જાનકી વાલાભાઇ</v>
      </c>
      <c r="AD289" s="302" t="s">
        <v>91</v>
      </c>
      <c r="AE289" s="303"/>
      <c r="AF289" s="303"/>
      <c r="AG289" s="303"/>
      <c r="AH289" s="303"/>
      <c r="AI289" s="303"/>
      <c r="AJ289" s="303"/>
      <c r="AK289" s="303"/>
      <c r="AL289" s="303"/>
      <c r="AM289" s="303"/>
      <c r="AN289" s="303"/>
      <c r="AO289" s="303"/>
      <c r="AP289" s="303"/>
      <c r="AQ289" s="303"/>
      <c r="AR289" s="303"/>
      <c r="AS289" s="303"/>
      <c r="AT289" s="303"/>
      <c r="AU289" s="303"/>
      <c r="AV289" s="303"/>
      <c r="AW289" s="304"/>
      <c r="AX289" s="305">
        <f t="shared" si="65"/>
        <v>1</v>
      </c>
      <c r="AY289" s="306">
        <f t="shared" si="66"/>
        <v>0</v>
      </c>
      <c r="AZ289" s="306">
        <f t="shared" si="67"/>
        <v>0</v>
      </c>
      <c r="BA289" s="307">
        <f t="shared" si="68"/>
        <v>40</v>
      </c>
      <c r="BB289" s="291"/>
    </row>
    <row r="290" spans="1:54" ht="20.25" customHeight="1">
      <c r="A290" s="201">
        <v>28</v>
      </c>
      <c r="B290" s="63" t="str">
        <f t="shared" si="59"/>
        <v>બતાડા ક્રિષ્નાબેન દેવશીભાઇ</v>
      </c>
      <c r="C290" s="302" t="s">
        <v>91</v>
      </c>
      <c r="D290" s="303"/>
      <c r="E290" s="303"/>
      <c r="F290" s="303"/>
      <c r="G290" s="303"/>
      <c r="H290" s="303"/>
      <c r="I290" s="303"/>
      <c r="J290" s="303"/>
      <c r="K290" s="303"/>
      <c r="L290" s="303"/>
      <c r="M290" s="303"/>
      <c r="N290" s="303"/>
      <c r="O290" s="303"/>
      <c r="P290" s="303"/>
      <c r="Q290" s="303"/>
      <c r="R290" s="303"/>
      <c r="S290" s="303"/>
      <c r="T290" s="303"/>
      <c r="U290" s="303"/>
      <c r="V290" s="304"/>
      <c r="W290" s="305">
        <f t="shared" si="60"/>
        <v>1</v>
      </c>
      <c r="X290" s="306">
        <f t="shared" si="61"/>
        <v>0</v>
      </c>
      <c r="Y290" s="306">
        <f t="shared" si="62"/>
        <v>0</v>
      </c>
      <c r="Z290" s="307">
        <f t="shared" si="63"/>
        <v>40</v>
      </c>
      <c r="AA290" s="291"/>
      <c r="AB290" s="201">
        <v>28</v>
      </c>
      <c r="AC290" s="63" t="str">
        <f t="shared" si="64"/>
        <v>બતાડા ક્રિષ્નાબેન દેવશીભાઇ</v>
      </c>
      <c r="AD290" s="302" t="s">
        <v>91</v>
      </c>
      <c r="AE290" s="303"/>
      <c r="AF290" s="303"/>
      <c r="AG290" s="303"/>
      <c r="AH290" s="303"/>
      <c r="AI290" s="303"/>
      <c r="AJ290" s="303"/>
      <c r="AK290" s="303"/>
      <c r="AL290" s="303"/>
      <c r="AM290" s="303"/>
      <c r="AN290" s="303"/>
      <c r="AO290" s="303"/>
      <c r="AP290" s="303"/>
      <c r="AQ290" s="303"/>
      <c r="AR290" s="303"/>
      <c r="AS290" s="303"/>
      <c r="AT290" s="303"/>
      <c r="AU290" s="303"/>
      <c r="AV290" s="303"/>
      <c r="AW290" s="304"/>
      <c r="AX290" s="305">
        <f t="shared" si="65"/>
        <v>1</v>
      </c>
      <c r="AY290" s="306">
        <f t="shared" si="66"/>
        <v>0</v>
      </c>
      <c r="AZ290" s="306">
        <f t="shared" si="67"/>
        <v>0</v>
      </c>
      <c r="BA290" s="307">
        <f t="shared" si="68"/>
        <v>40</v>
      </c>
      <c r="BB290" s="291"/>
    </row>
    <row r="291" spans="1:54" ht="20.25" customHeight="1">
      <c r="A291" s="201">
        <v>29</v>
      </c>
      <c r="B291" s="63" t="str">
        <f t="shared" si="59"/>
        <v>પરમાર અનિષા રમેશભાઇ</v>
      </c>
      <c r="C291" s="302" t="s">
        <v>91</v>
      </c>
      <c r="D291" s="303"/>
      <c r="E291" s="303"/>
      <c r="F291" s="303"/>
      <c r="G291" s="303"/>
      <c r="H291" s="303"/>
      <c r="I291" s="303"/>
      <c r="J291" s="303"/>
      <c r="K291" s="303"/>
      <c r="L291" s="303"/>
      <c r="M291" s="303"/>
      <c r="N291" s="303"/>
      <c r="O291" s="303"/>
      <c r="P291" s="303"/>
      <c r="Q291" s="303"/>
      <c r="R291" s="303"/>
      <c r="S291" s="303"/>
      <c r="T291" s="303"/>
      <c r="U291" s="303"/>
      <c r="V291" s="304"/>
      <c r="W291" s="305">
        <f t="shared" si="60"/>
        <v>1</v>
      </c>
      <c r="X291" s="306">
        <f t="shared" si="61"/>
        <v>0</v>
      </c>
      <c r="Y291" s="306">
        <f t="shared" si="62"/>
        <v>0</v>
      </c>
      <c r="Z291" s="307">
        <f t="shared" si="63"/>
        <v>40</v>
      </c>
      <c r="AA291" s="291"/>
      <c r="AB291" s="201">
        <v>29</v>
      </c>
      <c r="AC291" s="63" t="str">
        <f t="shared" si="64"/>
        <v>પરમાર અનિષા રમેશભાઇ</v>
      </c>
      <c r="AD291" s="302" t="s">
        <v>91</v>
      </c>
      <c r="AE291" s="303"/>
      <c r="AF291" s="303"/>
      <c r="AG291" s="303"/>
      <c r="AH291" s="303"/>
      <c r="AI291" s="303"/>
      <c r="AJ291" s="303"/>
      <c r="AK291" s="303"/>
      <c r="AL291" s="303"/>
      <c r="AM291" s="303"/>
      <c r="AN291" s="303"/>
      <c r="AO291" s="303"/>
      <c r="AP291" s="303"/>
      <c r="AQ291" s="303"/>
      <c r="AR291" s="303"/>
      <c r="AS291" s="303"/>
      <c r="AT291" s="303"/>
      <c r="AU291" s="303"/>
      <c r="AV291" s="303"/>
      <c r="AW291" s="304"/>
      <c r="AX291" s="305">
        <f t="shared" si="65"/>
        <v>1</v>
      </c>
      <c r="AY291" s="306">
        <f t="shared" si="66"/>
        <v>0</v>
      </c>
      <c r="AZ291" s="306">
        <f t="shared" si="67"/>
        <v>0</v>
      </c>
      <c r="BA291" s="307">
        <f t="shared" si="68"/>
        <v>40</v>
      </c>
      <c r="BB291" s="291"/>
    </row>
    <row r="292" spans="1:54" ht="20.25" customHeight="1">
      <c r="A292" s="201">
        <v>30</v>
      </c>
      <c r="B292" s="63" t="str">
        <f t="shared" si="59"/>
        <v>મકરૂબિયા નમ્રતા વશરામભાઇ</v>
      </c>
      <c r="C292" s="302" t="s">
        <v>91</v>
      </c>
      <c r="D292" s="303"/>
      <c r="E292" s="303"/>
      <c r="F292" s="303"/>
      <c r="G292" s="303"/>
      <c r="H292" s="303"/>
      <c r="I292" s="303"/>
      <c r="J292" s="303"/>
      <c r="K292" s="303"/>
      <c r="L292" s="303"/>
      <c r="M292" s="303"/>
      <c r="N292" s="303"/>
      <c r="O292" s="303"/>
      <c r="P292" s="303"/>
      <c r="Q292" s="303"/>
      <c r="R292" s="303"/>
      <c r="S292" s="303"/>
      <c r="T292" s="303"/>
      <c r="U292" s="303"/>
      <c r="V292" s="304"/>
      <c r="W292" s="305">
        <f t="shared" si="60"/>
        <v>1</v>
      </c>
      <c r="X292" s="306">
        <f t="shared" si="61"/>
        <v>0</v>
      </c>
      <c r="Y292" s="306">
        <f t="shared" si="62"/>
        <v>0</v>
      </c>
      <c r="Z292" s="307">
        <f t="shared" si="63"/>
        <v>40</v>
      </c>
      <c r="AA292" s="291"/>
      <c r="AB292" s="201">
        <v>30</v>
      </c>
      <c r="AC292" s="63" t="str">
        <f t="shared" si="64"/>
        <v>મકરૂબિયા નમ્રતા વશરામભાઇ</v>
      </c>
      <c r="AD292" s="302" t="s">
        <v>91</v>
      </c>
      <c r="AE292" s="303"/>
      <c r="AF292" s="303"/>
      <c r="AG292" s="303"/>
      <c r="AH292" s="303"/>
      <c r="AI292" s="303"/>
      <c r="AJ292" s="303"/>
      <c r="AK292" s="303"/>
      <c r="AL292" s="303"/>
      <c r="AM292" s="303"/>
      <c r="AN292" s="303"/>
      <c r="AO292" s="303"/>
      <c r="AP292" s="303"/>
      <c r="AQ292" s="303"/>
      <c r="AR292" s="303"/>
      <c r="AS292" s="303"/>
      <c r="AT292" s="303"/>
      <c r="AU292" s="303"/>
      <c r="AV292" s="303"/>
      <c r="AW292" s="304"/>
      <c r="AX292" s="305">
        <f t="shared" si="65"/>
        <v>1</v>
      </c>
      <c r="AY292" s="306">
        <f t="shared" si="66"/>
        <v>0</v>
      </c>
      <c r="AZ292" s="306">
        <f t="shared" si="67"/>
        <v>0</v>
      </c>
      <c r="BA292" s="307">
        <f t="shared" si="68"/>
        <v>40</v>
      </c>
      <c r="BB292" s="291"/>
    </row>
    <row r="293" spans="1:54" ht="20.25" customHeight="1">
      <c r="A293" s="201">
        <v>31</v>
      </c>
      <c r="B293" s="63">
        <f t="shared" si="59"/>
        <v>0</v>
      </c>
      <c r="C293" s="302"/>
      <c r="D293" s="303"/>
      <c r="E293" s="303"/>
      <c r="F293" s="303"/>
      <c r="G293" s="303"/>
      <c r="H293" s="303"/>
      <c r="I293" s="303"/>
      <c r="J293" s="303"/>
      <c r="K293" s="303"/>
      <c r="L293" s="303"/>
      <c r="M293" s="303"/>
      <c r="N293" s="303"/>
      <c r="O293" s="303"/>
      <c r="P293" s="303"/>
      <c r="Q293" s="303"/>
      <c r="R293" s="303"/>
      <c r="S293" s="303"/>
      <c r="T293" s="303"/>
      <c r="U293" s="303"/>
      <c r="V293" s="304"/>
      <c r="W293" s="305">
        <f t="shared" si="60"/>
        <v>0</v>
      </c>
      <c r="X293" s="306">
        <f t="shared" si="61"/>
        <v>0</v>
      </c>
      <c r="Y293" s="306">
        <f t="shared" si="62"/>
        <v>0</v>
      </c>
      <c r="Z293" s="307">
        <f t="shared" si="63"/>
        <v>0</v>
      </c>
      <c r="AA293" s="291"/>
      <c r="AB293" s="201">
        <v>31</v>
      </c>
      <c r="AC293" s="63">
        <f t="shared" si="64"/>
        <v>0</v>
      </c>
      <c r="AD293" s="302"/>
      <c r="AE293" s="303"/>
      <c r="AF293" s="303"/>
      <c r="AG293" s="303"/>
      <c r="AH293" s="303"/>
      <c r="AI293" s="303"/>
      <c r="AJ293" s="303"/>
      <c r="AK293" s="303"/>
      <c r="AL293" s="303"/>
      <c r="AM293" s="303"/>
      <c r="AN293" s="303"/>
      <c r="AO293" s="303"/>
      <c r="AP293" s="303"/>
      <c r="AQ293" s="303"/>
      <c r="AR293" s="303"/>
      <c r="AS293" s="303"/>
      <c r="AT293" s="303"/>
      <c r="AU293" s="303"/>
      <c r="AV293" s="303"/>
      <c r="AW293" s="304"/>
      <c r="AX293" s="305">
        <f t="shared" si="65"/>
        <v>0</v>
      </c>
      <c r="AY293" s="306">
        <f t="shared" si="66"/>
        <v>0</v>
      </c>
      <c r="AZ293" s="306">
        <f t="shared" si="67"/>
        <v>0</v>
      </c>
      <c r="BA293" s="307">
        <f t="shared" si="68"/>
        <v>0</v>
      </c>
      <c r="BB293" s="291"/>
    </row>
    <row r="294" spans="1:54" ht="20.25" customHeight="1">
      <c r="A294" s="201">
        <v>32</v>
      </c>
      <c r="B294" s="63">
        <f t="shared" si="59"/>
        <v>0</v>
      </c>
      <c r="C294" s="302"/>
      <c r="D294" s="303"/>
      <c r="E294" s="303"/>
      <c r="F294" s="303"/>
      <c r="G294" s="303"/>
      <c r="H294" s="303"/>
      <c r="I294" s="303"/>
      <c r="J294" s="303"/>
      <c r="K294" s="303"/>
      <c r="L294" s="303"/>
      <c r="M294" s="303"/>
      <c r="N294" s="303"/>
      <c r="O294" s="303"/>
      <c r="P294" s="303"/>
      <c r="Q294" s="303"/>
      <c r="R294" s="303"/>
      <c r="S294" s="303"/>
      <c r="T294" s="303"/>
      <c r="U294" s="303"/>
      <c r="V294" s="304"/>
      <c r="W294" s="305">
        <f t="shared" si="60"/>
        <v>0</v>
      </c>
      <c r="X294" s="306">
        <f t="shared" si="61"/>
        <v>0</v>
      </c>
      <c r="Y294" s="306">
        <f t="shared" si="62"/>
        <v>0</v>
      </c>
      <c r="Z294" s="307">
        <f t="shared" si="63"/>
        <v>0</v>
      </c>
      <c r="AA294" s="291"/>
      <c r="AB294" s="201">
        <v>32</v>
      </c>
      <c r="AC294" s="63">
        <f t="shared" si="64"/>
        <v>0</v>
      </c>
      <c r="AD294" s="302"/>
      <c r="AE294" s="303"/>
      <c r="AF294" s="303"/>
      <c r="AG294" s="303"/>
      <c r="AH294" s="303"/>
      <c r="AI294" s="303"/>
      <c r="AJ294" s="303"/>
      <c r="AK294" s="303"/>
      <c r="AL294" s="303"/>
      <c r="AM294" s="303"/>
      <c r="AN294" s="303"/>
      <c r="AO294" s="303"/>
      <c r="AP294" s="303"/>
      <c r="AQ294" s="303"/>
      <c r="AR294" s="303"/>
      <c r="AS294" s="303"/>
      <c r="AT294" s="303"/>
      <c r="AU294" s="303"/>
      <c r="AV294" s="303"/>
      <c r="AW294" s="304"/>
      <c r="AX294" s="305">
        <f t="shared" si="65"/>
        <v>0</v>
      </c>
      <c r="AY294" s="306">
        <f t="shared" si="66"/>
        <v>0</v>
      </c>
      <c r="AZ294" s="306">
        <f t="shared" si="67"/>
        <v>0</v>
      </c>
      <c r="BA294" s="307">
        <f t="shared" si="68"/>
        <v>0</v>
      </c>
      <c r="BB294" s="291"/>
    </row>
    <row r="295" spans="1:54" ht="20.25" customHeight="1">
      <c r="A295" s="201">
        <v>33</v>
      </c>
      <c r="B295" s="63">
        <f t="shared" si="59"/>
        <v>0</v>
      </c>
      <c r="C295" s="302"/>
      <c r="D295" s="303"/>
      <c r="E295" s="303"/>
      <c r="F295" s="303"/>
      <c r="G295" s="303"/>
      <c r="H295" s="303"/>
      <c r="I295" s="303"/>
      <c r="J295" s="303"/>
      <c r="K295" s="303"/>
      <c r="L295" s="303"/>
      <c r="M295" s="303"/>
      <c r="N295" s="303"/>
      <c r="O295" s="303"/>
      <c r="P295" s="303"/>
      <c r="Q295" s="303"/>
      <c r="R295" s="303"/>
      <c r="S295" s="303"/>
      <c r="T295" s="303"/>
      <c r="U295" s="303"/>
      <c r="V295" s="304"/>
      <c r="W295" s="305">
        <f t="shared" si="60"/>
        <v>0</v>
      </c>
      <c r="X295" s="306">
        <f t="shared" si="61"/>
        <v>0</v>
      </c>
      <c r="Y295" s="306">
        <f t="shared" si="62"/>
        <v>0</v>
      </c>
      <c r="Z295" s="307">
        <f t="shared" si="63"/>
        <v>0</v>
      </c>
      <c r="AA295" s="291"/>
      <c r="AB295" s="201">
        <v>33</v>
      </c>
      <c r="AC295" s="63">
        <f t="shared" si="64"/>
        <v>0</v>
      </c>
      <c r="AD295" s="302"/>
      <c r="AE295" s="303"/>
      <c r="AF295" s="303"/>
      <c r="AG295" s="303"/>
      <c r="AH295" s="303"/>
      <c r="AI295" s="303"/>
      <c r="AJ295" s="303"/>
      <c r="AK295" s="303"/>
      <c r="AL295" s="303"/>
      <c r="AM295" s="303"/>
      <c r="AN295" s="303"/>
      <c r="AO295" s="303"/>
      <c r="AP295" s="303"/>
      <c r="AQ295" s="303"/>
      <c r="AR295" s="303"/>
      <c r="AS295" s="303"/>
      <c r="AT295" s="303"/>
      <c r="AU295" s="303"/>
      <c r="AV295" s="303"/>
      <c r="AW295" s="304"/>
      <c r="AX295" s="305">
        <f t="shared" si="65"/>
        <v>0</v>
      </c>
      <c r="AY295" s="306">
        <f t="shared" si="66"/>
        <v>0</v>
      </c>
      <c r="AZ295" s="306">
        <f t="shared" si="67"/>
        <v>0</v>
      </c>
      <c r="BA295" s="307">
        <f t="shared" si="68"/>
        <v>0</v>
      </c>
      <c r="BB295" s="291"/>
    </row>
    <row r="296" spans="1:54" ht="20.25" customHeight="1">
      <c r="A296" s="201">
        <v>34</v>
      </c>
      <c r="B296" s="63">
        <f t="shared" si="59"/>
        <v>0</v>
      </c>
      <c r="C296" s="302"/>
      <c r="D296" s="303"/>
      <c r="E296" s="303"/>
      <c r="F296" s="303"/>
      <c r="G296" s="303"/>
      <c r="H296" s="303"/>
      <c r="I296" s="303"/>
      <c r="J296" s="303"/>
      <c r="K296" s="303"/>
      <c r="L296" s="303"/>
      <c r="M296" s="303"/>
      <c r="N296" s="303"/>
      <c r="O296" s="303"/>
      <c r="P296" s="303"/>
      <c r="Q296" s="303"/>
      <c r="R296" s="303"/>
      <c r="S296" s="303"/>
      <c r="T296" s="303"/>
      <c r="U296" s="303"/>
      <c r="V296" s="304"/>
      <c r="W296" s="305">
        <f t="shared" si="60"/>
        <v>0</v>
      </c>
      <c r="X296" s="306">
        <f t="shared" si="61"/>
        <v>0</v>
      </c>
      <c r="Y296" s="306">
        <f t="shared" si="62"/>
        <v>0</v>
      </c>
      <c r="Z296" s="307">
        <f t="shared" si="63"/>
        <v>0</v>
      </c>
      <c r="AA296" s="291"/>
      <c r="AB296" s="201">
        <v>34</v>
      </c>
      <c r="AC296" s="63">
        <f t="shared" si="64"/>
        <v>0</v>
      </c>
      <c r="AD296" s="302"/>
      <c r="AE296" s="303"/>
      <c r="AF296" s="303"/>
      <c r="AG296" s="303"/>
      <c r="AH296" s="303"/>
      <c r="AI296" s="303"/>
      <c r="AJ296" s="303"/>
      <c r="AK296" s="303"/>
      <c r="AL296" s="303"/>
      <c r="AM296" s="303"/>
      <c r="AN296" s="303"/>
      <c r="AO296" s="303"/>
      <c r="AP296" s="303"/>
      <c r="AQ296" s="303"/>
      <c r="AR296" s="303"/>
      <c r="AS296" s="303"/>
      <c r="AT296" s="303"/>
      <c r="AU296" s="303"/>
      <c r="AV296" s="303"/>
      <c r="AW296" s="304"/>
      <c r="AX296" s="305">
        <f t="shared" si="65"/>
        <v>0</v>
      </c>
      <c r="AY296" s="306">
        <f t="shared" si="66"/>
        <v>0</v>
      </c>
      <c r="AZ296" s="306">
        <f t="shared" si="67"/>
        <v>0</v>
      </c>
      <c r="BA296" s="307">
        <f t="shared" si="68"/>
        <v>0</v>
      </c>
      <c r="BB296" s="291"/>
    </row>
    <row r="297" spans="1:54" ht="20.25" customHeight="1">
      <c r="A297" s="201">
        <v>35</v>
      </c>
      <c r="B297" s="64">
        <f t="shared" si="59"/>
        <v>0</v>
      </c>
      <c r="C297" s="308"/>
      <c r="D297" s="309"/>
      <c r="E297" s="309"/>
      <c r="F297" s="309"/>
      <c r="G297" s="309"/>
      <c r="H297" s="309"/>
      <c r="I297" s="309"/>
      <c r="J297" s="309"/>
      <c r="K297" s="309"/>
      <c r="L297" s="309"/>
      <c r="M297" s="309"/>
      <c r="N297" s="309"/>
      <c r="O297" s="309"/>
      <c r="P297" s="309"/>
      <c r="Q297" s="309"/>
      <c r="R297" s="309"/>
      <c r="S297" s="309"/>
      <c r="T297" s="309"/>
      <c r="U297" s="309"/>
      <c r="V297" s="310"/>
      <c r="W297" s="311">
        <f t="shared" si="60"/>
        <v>0</v>
      </c>
      <c r="X297" s="312">
        <f t="shared" si="61"/>
        <v>0</v>
      </c>
      <c r="Y297" s="312">
        <f t="shared" si="62"/>
        <v>0</v>
      </c>
      <c r="Z297" s="313">
        <f t="shared" si="63"/>
        <v>0</v>
      </c>
      <c r="AA297" s="291"/>
      <c r="AB297" s="201">
        <v>35</v>
      </c>
      <c r="AC297" s="64">
        <f t="shared" si="64"/>
        <v>0</v>
      </c>
      <c r="AD297" s="308"/>
      <c r="AE297" s="309"/>
      <c r="AF297" s="309"/>
      <c r="AG297" s="309"/>
      <c r="AH297" s="309"/>
      <c r="AI297" s="309"/>
      <c r="AJ297" s="309"/>
      <c r="AK297" s="309"/>
      <c r="AL297" s="309"/>
      <c r="AM297" s="309"/>
      <c r="AN297" s="309"/>
      <c r="AO297" s="309"/>
      <c r="AP297" s="309"/>
      <c r="AQ297" s="309"/>
      <c r="AR297" s="309"/>
      <c r="AS297" s="309"/>
      <c r="AT297" s="309"/>
      <c r="AU297" s="309"/>
      <c r="AV297" s="309"/>
      <c r="AW297" s="310"/>
      <c r="AX297" s="311">
        <f t="shared" si="65"/>
        <v>0</v>
      </c>
      <c r="AY297" s="312">
        <f t="shared" si="66"/>
        <v>0</v>
      </c>
      <c r="AZ297" s="312">
        <f t="shared" si="67"/>
        <v>0</v>
      </c>
      <c r="BA297" s="313">
        <f t="shared" si="68"/>
        <v>0</v>
      </c>
      <c r="BB297" s="291"/>
    </row>
    <row r="298" spans="1:54">
      <c r="A298" s="314"/>
      <c r="B298" s="292"/>
      <c r="C298" s="291"/>
      <c r="D298" s="291"/>
      <c r="E298" s="291"/>
      <c r="F298" s="291"/>
      <c r="G298" s="291"/>
      <c r="H298" s="291"/>
      <c r="I298" s="291"/>
      <c r="J298" s="291"/>
      <c r="K298" s="291"/>
      <c r="L298" s="291"/>
      <c r="M298" s="291"/>
      <c r="N298" s="291"/>
      <c r="O298" s="291"/>
      <c r="P298" s="291"/>
      <c r="Q298" s="291"/>
      <c r="R298" s="291"/>
      <c r="S298" s="291"/>
      <c r="T298" s="291"/>
      <c r="U298" s="291"/>
      <c r="V298" s="291"/>
      <c r="W298" s="291"/>
      <c r="X298" s="291"/>
      <c r="Y298" s="291"/>
      <c r="Z298" s="291"/>
      <c r="AA298" s="291"/>
      <c r="AB298" s="314"/>
      <c r="AC298" s="292"/>
      <c r="AD298" s="291"/>
      <c r="AE298" s="291"/>
      <c r="AF298" s="291"/>
      <c r="AG298" s="291"/>
      <c r="AH298" s="291"/>
      <c r="AI298" s="291"/>
      <c r="AJ298" s="291"/>
      <c r="AK298" s="291"/>
      <c r="AL298" s="291"/>
      <c r="AM298" s="291"/>
      <c r="AN298" s="291"/>
      <c r="AO298" s="291"/>
      <c r="AP298" s="291"/>
      <c r="AQ298" s="291"/>
      <c r="AR298" s="291"/>
      <c r="AS298" s="291"/>
      <c r="AT298" s="291"/>
      <c r="AU298" s="291"/>
      <c r="AV298" s="291"/>
      <c r="AW298" s="291"/>
      <c r="AX298" s="291"/>
      <c r="AY298" s="291"/>
      <c r="AZ298" s="291"/>
      <c r="BA298" s="291"/>
      <c r="BB298" s="291"/>
    </row>
  </sheetData>
  <sheetProtection password="CCF1" sheet="1" objects="1" scenarios="1"/>
  <mergeCells count="165">
    <mergeCell ref="A1:AA1"/>
    <mergeCell ref="AC47:BA47"/>
    <mergeCell ref="B48:Z48"/>
    <mergeCell ref="AC48:BA48"/>
    <mergeCell ref="C2:G2"/>
    <mergeCell ref="C3:G3"/>
    <mergeCell ref="H2:L2"/>
    <mergeCell ref="M2:Q2"/>
    <mergeCell ref="R2:V2"/>
    <mergeCell ref="H3:L3"/>
    <mergeCell ref="AD7:AK7"/>
    <mergeCell ref="M3:Q3"/>
    <mergeCell ref="R3:V3"/>
    <mergeCell ref="B2:B3"/>
    <mergeCell ref="B47:Z47"/>
    <mergeCell ref="AC2:BA3"/>
    <mergeCell ref="B5:Z5"/>
    <mergeCell ref="AC5:BA5"/>
    <mergeCell ref="B6:Z6"/>
    <mergeCell ref="AC6:BA6"/>
    <mergeCell ref="AZ7:BA7"/>
    <mergeCell ref="C7:J7"/>
    <mergeCell ref="K7:Q7"/>
    <mergeCell ref="R7:X7"/>
    <mergeCell ref="A8:A10"/>
    <mergeCell ref="B8:B10"/>
    <mergeCell ref="C8:V8"/>
    <mergeCell ref="W8:Y9"/>
    <mergeCell ref="Z8:Z10"/>
    <mergeCell ref="AB8:AB10"/>
    <mergeCell ref="A50:A52"/>
    <mergeCell ref="B50:B52"/>
    <mergeCell ref="C50:V50"/>
    <mergeCell ref="R49:X49"/>
    <mergeCell ref="Y49:Z49"/>
    <mergeCell ref="W50:Y51"/>
    <mergeCell ref="Y7:Z7"/>
    <mergeCell ref="AS49:AY49"/>
    <mergeCell ref="AC8:AC10"/>
    <mergeCell ref="AD8:AW8"/>
    <mergeCell ref="AX8:AZ9"/>
    <mergeCell ref="BA8:BA10"/>
    <mergeCell ref="AL7:AR7"/>
    <mergeCell ref="AS7:AY7"/>
    <mergeCell ref="C49:J49"/>
    <mergeCell ref="K49:Q49"/>
    <mergeCell ref="AD49:AK49"/>
    <mergeCell ref="AL49:AR49"/>
    <mergeCell ref="AZ49:BA49"/>
    <mergeCell ref="A92:A94"/>
    <mergeCell ref="B92:B94"/>
    <mergeCell ref="C92:V92"/>
    <mergeCell ref="W92:Y93"/>
    <mergeCell ref="Z92:Z94"/>
    <mergeCell ref="AB92:AB94"/>
    <mergeCell ref="B90:Z90"/>
    <mergeCell ref="AC90:BA90"/>
    <mergeCell ref="AC92:AC94"/>
    <mergeCell ref="AD92:AW92"/>
    <mergeCell ref="AX92:AZ93"/>
    <mergeCell ref="BA92:BA94"/>
    <mergeCell ref="C91:J91"/>
    <mergeCell ref="K91:Q91"/>
    <mergeCell ref="AS91:AY91"/>
    <mergeCell ref="AZ91:BA91"/>
    <mergeCell ref="R91:X91"/>
    <mergeCell ref="Y91:Z91"/>
    <mergeCell ref="AD91:AK91"/>
    <mergeCell ref="AL91:AR91"/>
    <mergeCell ref="B131:Z131"/>
    <mergeCell ref="AC131:BA131"/>
    <mergeCell ref="B132:Z132"/>
    <mergeCell ref="AC132:BA132"/>
    <mergeCell ref="AC50:AC52"/>
    <mergeCell ref="AD50:AW50"/>
    <mergeCell ref="B89:Z89"/>
    <mergeCell ref="AC89:BA89"/>
    <mergeCell ref="AX50:AZ51"/>
    <mergeCell ref="BA50:BA52"/>
    <mergeCell ref="Z50:Z52"/>
    <mergeCell ref="AB50:AB52"/>
    <mergeCell ref="A134:A136"/>
    <mergeCell ref="B134:B136"/>
    <mergeCell ref="C134:V134"/>
    <mergeCell ref="W134:Y135"/>
    <mergeCell ref="Z134:Z136"/>
    <mergeCell ref="AB134:AB136"/>
    <mergeCell ref="R133:X133"/>
    <mergeCell ref="Y133:Z133"/>
    <mergeCell ref="AD133:AK133"/>
    <mergeCell ref="B173:Z173"/>
    <mergeCell ref="AC173:BA173"/>
    <mergeCell ref="B174:Z174"/>
    <mergeCell ref="AC174:BA174"/>
    <mergeCell ref="AC134:AC136"/>
    <mergeCell ref="AD134:AW134"/>
    <mergeCell ref="AX134:AZ135"/>
    <mergeCell ref="BA134:BA136"/>
    <mergeCell ref="C133:J133"/>
    <mergeCell ref="K133:Q133"/>
    <mergeCell ref="AL133:AR133"/>
    <mergeCell ref="AS133:AY133"/>
    <mergeCell ref="AZ133:BA133"/>
    <mergeCell ref="A176:A178"/>
    <mergeCell ref="B176:B178"/>
    <mergeCell ref="C176:V176"/>
    <mergeCell ref="W176:Y177"/>
    <mergeCell ref="Z176:Z178"/>
    <mergeCell ref="AB176:AB178"/>
    <mergeCell ref="R175:X175"/>
    <mergeCell ref="Y175:Z175"/>
    <mergeCell ref="AD175:AK175"/>
    <mergeCell ref="B215:Z215"/>
    <mergeCell ref="AC215:BA215"/>
    <mergeCell ref="B216:Z216"/>
    <mergeCell ref="AC216:BA216"/>
    <mergeCell ref="AC176:AC178"/>
    <mergeCell ref="AD176:AW176"/>
    <mergeCell ref="AX176:AZ177"/>
    <mergeCell ref="BA176:BA178"/>
    <mergeCell ref="C175:J175"/>
    <mergeCell ref="K175:Q175"/>
    <mergeCell ref="AL175:AR175"/>
    <mergeCell ref="AS175:AY175"/>
    <mergeCell ref="AZ175:BA175"/>
    <mergeCell ref="AC218:AC220"/>
    <mergeCell ref="AD218:AW218"/>
    <mergeCell ref="AX218:AZ219"/>
    <mergeCell ref="BA218:BA220"/>
    <mergeCell ref="C217:J217"/>
    <mergeCell ref="K217:Q217"/>
    <mergeCell ref="A218:A220"/>
    <mergeCell ref="B218:B220"/>
    <mergeCell ref="C218:V218"/>
    <mergeCell ref="W218:Y219"/>
    <mergeCell ref="Z218:Z220"/>
    <mergeCell ref="AB218:AB220"/>
    <mergeCell ref="R217:X217"/>
    <mergeCell ref="Y217:Z217"/>
    <mergeCell ref="AD217:AK217"/>
    <mergeCell ref="AL217:AR217"/>
    <mergeCell ref="AS217:AY217"/>
    <mergeCell ref="AZ217:BA217"/>
    <mergeCell ref="B257:Z257"/>
    <mergeCell ref="AC257:BA257"/>
    <mergeCell ref="B258:Z258"/>
    <mergeCell ref="AC258:BA258"/>
    <mergeCell ref="AC260:AC262"/>
    <mergeCell ref="AD260:AW260"/>
    <mergeCell ref="AX260:AZ261"/>
    <mergeCell ref="BA260:BA262"/>
    <mergeCell ref="C259:J259"/>
    <mergeCell ref="K259:Q259"/>
    <mergeCell ref="A260:A262"/>
    <mergeCell ref="B260:B262"/>
    <mergeCell ref="C260:V260"/>
    <mergeCell ref="W260:Y261"/>
    <mergeCell ref="Z260:Z262"/>
    <mergeCell ref="AB260:AB262"/>
    <mergeCell ref="AL259:AR259"/>
    <mergeCell ref="AS259:AY259"/>
    <mergeCell ref="AZ259:BA259"/>
    <mergeCell ref="R259:X259"/>
    <mergeCell ref="Y259:Z259"/>
    <mergeCell ref="AD259:AK259"/>
  </mergeCells>
  <conditionalFormatting sqref="B12:B45 AC12:AC45 B54:B87 AC54:AC87 B96:B129 AC96:AC129 B138:B171 AC138:AC171 B180:B213 AC180:AC213 B222:B255 AC222:AC255 B264:B297 AC264:AC297">
    <cfRule type="cellIs" dxfId="53" priority="57" operator="equal">
      <formula>0</formula>
    </cfRule>
  </conditionalFormatting>
  <conditionalFormatting sqref="C11:V45">
    <cfRule type="cellIs" dxfId="52" priority="42" operator="equal">
      <formula>"√"</formula>
    </cfRule>
    <cfRule type="cellIs" dxfId="51" priority="47" operator="equal">
      <formula>"X"</formula>
    </cfRule>
    <cfRule type="cellIs" dxfId="50" priority="48" operator="equal">
      <formula>" ?"</formula>
    </cfRule>
  </conditionalFormatting>
  <conditionalFormatting sqref="AD11:AW45">
    <cfRule type="cellIs" dxfId="49" priority="45" operator="equal">
      <formula>"X"</formula>
    </cfRule>
    <cfRule type="cellIs" dxfId="48" priority="46" operator="equal">
      <formula>" ?"</formula>
    </cfRule>
  </conditionalFormatting>
  <conditionalFormatting sqref="AD53:AW87">
    <cfRule type="cellIs" dxfId="47" priority="43" operator="equal">
      <formula>"X"</formula>
    </cfRule>
    <cfRule type="cellIs" dxfId="46" priority="44" operator="equal">
      <formula>" ?"</formula>
    </cfRule>
  </conditionalFormatting>
  <conditionalFormatting sqref="AD11:AW45">
    <cfRule type="cellIs" dxfId="45" priority="39" operator="equal">
      <formula>"√"</formula>
    </cfRule>
    <cfRule type="cellIs" dxfId="44" priority="40" operator="equal">
      <formula>"X"</formula>
    </cfRule>
    <cfRule type="cellIs" dxfId="43" priority="41" operator="equal">
      <formula>" ?"</formula>
    </cfRule>
  </conditionalFormatting>
  <conditionalFormatting sqref="AD53:AW87">
    <cfRule type="cellIs" dxfId="42" priority="36" operator="equal">
      <formula>"√"</formula>
    </cfRule>
    <cfRule type="cellIs" dxfId="41" priority="37" operator="equal">
      <formula>"X"</formula>
    </cfRule>
    <cfRule type="cellIs" dxfId="40" priority="38" operator="equal">
      <formula>" ?"</formula>
    </cfRule>
  </conditionalFormatting>
  <conditionalFormatting sqref="C53:V87">
    <cfRule type="cellIs" dxfId="39" priority="33" operator="equal">
      <formula>"√"</formula>
    </cfRule>
    <cfRule type="cellIs" dxfId="38" priority="34" operator="equal">
      <formula>"X"</formula>
    </cfRule>
    <cfRule type="cellIs" dxfId="37" priority="35" operator="equal">
      <formula>" ?"</formula>
    </cfRule>
  </conditionalFormatting>
  <conditionalFormatting sqref="C95:V129">
    <cfRule type="cellIs" dxfId="36" priority="30" operator="equal">
      <formula>"√"</formula>
    </cfRule>
    <cfRule type="cellIs" dxfId="35" priority="31" operator="equal">
      <formula>"X"</formula>
    </cfRule>
    <cfRule type="cellIs" dxfId="34" priority="32" operator="equal">
      <formula>" ?"</formula>
    </cfRule>
  </conditionalFormatting>
  <conditionalFormatting sqref="AD95:AW129">
    <cfRule type="cellIs" dxfId="33" priority="27" operator="equal">
      <formula>"√"</formula>
    </cfRule>
    <cfRule type="cellIs" dxfId="32" priority="28" operator="equal">
      <formula>"X"</formula>
    </cfRule>
    <cfRule type="cellIs" dxfId="31" priority="29" operator="equal">
      <formula>" ?"</formula>
    </cfRule>
  </conditionalFormatting>
  <conditionalFormatting sqref="AD137:AW171">
    <cfRule type="cellIs" dxfId="30" priority="24" operator="equal">
      <formula>"√"</formula>
    </cfRule>
    <cfRule type="cellIs" dxfId="29" priority="25" operator="equal">
      <formula>"X"</formula>
    </cfRule>
    <cfRule type="cellIs" dxfId="28" priority="26" operator="equal">
      <formula>" ?"</formula>
    </cfRule>
  </conditionalFormatting>
  <conditionalFormatting sqref="C137:V171">
    <cfRule type="cellIs" dxfId="27" priority="21" operator="equal">
      <formula>"√"</formula>
    </cfRule>
    <cfRule type="cellIs" dxfId="26" priority="22" operator="equal">
      <formula>"X"</formula>
    </cfRule>
    <cfRule type="cellIs" dxfId="25" priority="23" operator="equal">
      <formula>" ?"</formula>
    </cfRule>
  </conditionalFormatting>
  <conditionalFormatting sqref="C179:V213">
    <cfRule type="cellIs" dxfId="24" priority="18" operator="equal">
      <formula>"√"</formula>
    </cfRule>
    <cfRule type="cellIs" dxfId="23" priority="19" operator="equal">
      <formula>"X"</formula>
    </cfRule>
    <cfRule type="cellIs" dxfId="22" priority="20" operator="equal">
      <formula>" ?"</formula>
    </cfRule>
  </conditionalFormatting>
  <conditionalFormatting sqref="AD179:AW213">
    <cfRule type="cellIs" dxfId="21" priority="15" operator="equal">
      <formula>"√"</formula>
    </cfRule>
    <cfRule type="cellIs" dxfId="20" priority="16" operator="equal">
      <formula>"X"</formula>
    </cfRule>
    <cfRule type="cellIs" dxfId="19" priority="17" operator="equal">
      <formula>" ?"</formula>
    </cfRule>
  </conditionalFormatting>
  <conditionalFormatting sqref="C221:V255">
    <cfRule type="cellIs" dxfId="18" priority="12" operator="equal">
      <formula>"√"</formula>
    </cfRule>
    <cfRule type="cellIs" dxfId="17" priority="13" operator="equal">
      <formula>"X"</formula>
    </cfRule>
    <cfRule type="cellIs" dxfId="16" priority="14" operator="equal">
      <formula>" ?"</formula>
    </cfRule>
  </conditionalFormatting>
  <conditionalFormatting sqref="AD221:AW255">
    <cfRule type="cellIs" dxfId="15" priority="9" operator="equal">
      <formula>"√"</formula>
    </cfRule>
    <cfRule type="cellIs" dxfId="14" priority="10" operator="equal">
      <formula>"X"</formula>
    </cfRule>
    <cfRule type="cellIs" dxfId="13" priority="11" operator="equal">
      <formula>" ?"</formula>
    </cfRule>
  </conditionalFormatting>
  <conditionalFormatting sqref="C263:V297">
    <cfRule type="cellIs" dxfId="12" priority="6" operator="equal">
      <formula>"√"</formula>
    </cfRule>
    <cfRule type="cellIs" dxfId="11" priority="7" operator="equal">
      <formula>"X"</formula>
    </cfRule>
    <cfRule type="cellIs" dxfId="10" priority="8" operator="equal">
      <formula>" ?"</formula>
    </cfRule>
  </conditionalFormatting>
  <conditionalFormatting sqref="AD263:AW297">
    <cfRule type="cellIs" dxfId="9" priority="3" operator="equal">
      <formula>"√"</formula>
    </cfRule>
    <cfRule type="cellIs" dxfId="8" priority="4" operator="equal">
      <formula>"X"</formula>
    </cfRule>
    <cfRule type="cellIs" dxfId="7" priority="5" operator="equal">
      <formula>" ?"</formula>
    </cfRule>
  </conditionalFormatting>
  <conditionalFormatting sqref="Z11:Z45 BA11:BA45">
    <cfRule type="cellIs" dxfId="6" priority="2" stopIfTrue="1" operator="greaterThan">
      <formula>40</formula>
    </cfRule>
  </conditionalFormatting>
  <conditionalFormatting sqref="Z53:Z87 BA53:BA87 BA95:BA129 Z95:Z129 Z137:Z171 BA137:BA171 Z179:Z213 BA179:BA213 BA221:BA255 Z221:Z255 Z263:Z297 BA263:BA297">
    <cfRule type="cellIs" dxfId="5" priority="1" stopIfTrue="1" operator="greaterThan">
      <formula>40</formula>
    </cfRule>
  </conditionalFormatting>
  <dataValidations count="1">
    <dataValidation type="list" allowBlank="1" showInputMessage="1" showErrorMessage="1" sqref="C11:V45 C263:V297 AD263:AW297 C179:V213 AD179:AW213 C95:V129 AD95:AW129 AD11:AW45 C53:V87 AD53:AW87 C137:V171 AD137:AW171 C221:V255 AD221:AW255">
      <formula1>$W$10:$Y$10</formula1>
    </dataValidation>
  </dataValidations>
  <hyperlinks>
    <hyperlink ref="C2:G2" location="AGUJ" display="ગુજરાતી"/>
    <hyperlink ref="C3:G3" location="AMATH" display="ગણિત"/>
    <hyperlink ref="H2:L2" location="ASCI" display="વિજ્ઞાન- ટેક્"/>
    <hyperlink ref="H3:L3" location="AHIN" display="હિન્દી"/>
    <hyperlink ref="M2:Q2" location="ASS" display="સામા. વિજ્ઞાન"/>
    <hyperlink ref="M3:Q3" location="AENG" display="અંગ્રેજી"/>
    <hyperlink ref="R2:V2" location="ASAN" display="સંસ્કૃત"/>
    <hyperlink ref="A47" location="AINDEX" display="^"/>
    <hyperlink ref="AB47" location="AINDEX" display="^"/>
    <hyperlink ref="A89" location="AINDEX" display="^"/>
    <hyperlink ref="AB89" location="AINDEX" display="^"/>
    <hyperlink ref="A131" location="AINDEX" display="^"/>
    <hyperlink ref="AB131" location="AINDEX" display="^"/>
    <hyperlink ref="A173" location="AINDEX" display="^"/>
    <hyperlink ref="AB173" location="AINDEX" display="^"/>
    <hyperlink ref="A215" location="AINDEX" display="^"/>
    <hyperlink ref="AB215" location="AINDEX" display="^"/>
    <hyperlink ref="A257" location="AINDEX" display="^"/>
    <hyperlink ref="AB257" location="AINDEX" display="^"/>
  </hyperlinks>
  <pageMargins left="0.7" right="0.7" top="0.47" bottom="0.75" header="0.3" footer="0.3"/>
  <pageSetup paperSize="9" scale="86" orientation="portrait" horizontalDpi="4294967292" verticalDpi="300" r:id="rId1"/>
  <headerFooter>
    <oddFooter>&amp;Lવર્ગ શિક્ષકની સહી&amp;Rઆચાર્યની સહી</oddFooter>
  </headerFooter>
  <rowBreaks count="7" manualBreakCount="7">
    <brk id="45" max="52" man="1"/>
    <brk id="87" max="52" man="1"/>
    <brk id="129" max="16383" man="1"/>
    <brk id="171" max="16383" man="1"/>
    <brk id="213" max="16383" man="1"/>
    <brk id="255" max="16383" man="1"/>
    <brk id="297" max="16383" man="1"/>
  </rowBreaks>
  <colBreaks count="1" manualBreakCount="1">
    <brk id="27" max="1048575" man="1"/>
  </colBreaks>
  <legacyDrawing r:id="rId2"/>
</worksheet>
</file>

<file path=xl/worksheets/sheet5.xml><?xml version="1.0" encoding="utf-8"?>
<worksheet xmlns="http://schemas.openxmlformats.org/spreadsheetml/2006/main" xmlns:r="http://schemas.openxmlformats.org/officeDocument/2006/relationships">
  <sheetPr>
    <tabColor rgb="FFFF0000"/>
  </sheetPr>
  <dimension ref="A1:AT85"/>
  <sheetViews>
    <sheetView showGridLines="0" showZeros="0" view="pageLayout" topLeftCell="A28" zoomScaleSheetLayoutView="100" workbookViewId="0">
      <selection activeCell="U40" sqref="U40:U42"/>
    </sheetView>
  </sheetViews>
  <sheetFormatPr defaultRowHeight="12.75"/>
  <cols>
    <col min="1" max="1" width="3.42578125" style="257" customWidth="1"/>
    <col min="2" max="2" width="21.7109375" style="257" customWidth="1"/>
    <col min="3" max="3" width="4" style="257" customWidth="1"/>
    <col min="4" max="42" width="3.28515625" style="257" customWidth="1"/>
    <col min="43" max="43" width="3.7109375" style="257" customWidth="1"/>
    <col min="44" max="44" width="6" style="257" customWidth="1"/>
    <col min="45" max="45" width="6.28515625" style="257" customWidth="1"/>
    <col min="46" max="16384" width="9.140625" style="257"/>
  </cols>
  <sheetData>
    <row r="1" spans="1:45" ht="23.25" customHeight="1">
      <c r="A1" s="256" t="s">
        <v>179</v>
      </c>
      <c r="B1" s="375" t="s">
        <v>122</v>
      </c>
      <c r="C1" s="375"/>
      <c r="D1" s="375"/>
      <c r="E1" s="375"/>
      <c r="F1" s="375"/>
      <c r="G1" s="375"/>
      <c r="H1" s="375"/>
      <c r="I1" s="375"/>
      <c r="J1" s="375"/>
      <c r="K1" s="375"/>
      <c r="L1" s="375"/>
      <c r="M1" s="375"/>
      <c r="N1" s="375"/>
      <c r="O1" s="375"/>
      <c r="P1" s="375"/>
      <c r="Q1" s="375"/>
      <c r="R1" s="375"/>
      <c r="S1" s="375"/>
      <c r="T1" s="375"/>
      <c r="U1" s="375"/>
      <c r="V1" s="375" t="s">
        <v>122</v>
      </c>
      <c r="W1" s="375"/>
      <c r="X1" s="375"/>
      <c r="Y1" s="375"/>
      <c r="Z1" s="375"/>
      <c r="AA1" s="375"/>
      <c r="AB1" s="375"/>
      <c r="AC1" s="375"/>
      <c r="AD1" s="375"/>
      <c r="AE1" s="375"/>
      <c r="AF1" s="375"/>
      <c r="AG1" s="375"/>
      <c r="AH1" s="375"/>
      <c r="AI1" s="375"/>
      <c r="AJ1" s="375"/>
      <c r="AK1" s="375"/>
      <c r="AL1" s="375"/>
      <c r="AM1" s="375"/>
      <c r="AN1" s="375"/>
      <c r="AO1" s="375"/>
      <c r="AP1" s="375"/>
      <c r="AQ1" s="375"/>
      <c r="AR1" s="375"/>
      <c r="AS1" s="375"/>
    </row>
    <row r="2" spans="1:45" ht="23.25" customHeight="1">
      <c r="A2" s="258"/>
      <c r="B2" s="401" t="s">
        <v>180</v>
      </c>
      <c r="C2" s="401"/>
      <c r="D2" s="401"/>
      <c r="E2" s="401"/>
      <c r="F2" s="401"/>
      <c r="G2" s="401"/>
      <c r="H2" s="401"/>
      <c r="I2" s="401"/>
      <c r="J2" s="401"/>
      <c r="K2" s="401"/>
      <c r="L2" s="401"/>
      <c r="M2" s="401"/>
      <c r="N2" s="401"/>
      <c r="O2" s="401"/>
      <c r="P2" s="401"/>
      <c r="Q2" s="401"/>
      <c r="R2" s="401"/>
      <c r="S2" s="401"/>
      <c r="T2" s="401"/>
      <c r="U2" s="401"/>
      <c r="V2" s="375" t="str">
        <f>B2</f>
        <v>વ્યક્તિત્વ વિકાસ</v>
      </c>
      <c r="W2" s="375"/>
      <c r="X2" s="375"/>
      <c r="Y2" s="375"/>
      <c r="Z2" s="375"/>
      <c r="AA2" s="375"/>
      <c r="AB2" s="375"/>
      <c r="AC2" s="375"/>
      <c r="AD2" s="375"/>
      <c r="AE2" s="375"/>
      <c r="AF2" s="375"/>
      <c r="AG2" s="375"/>
      <c r="AH2" s="375"/>
      <c r="AI2" s="375"/>
      <c r="AJ2" s="375"/>
      <c r="AK2" s="375"/>
      <c r="AL2" s="375"/>
      <c r="AM2" s="375"/>
      <c r="AN2" s="375"/>
      <c r="AO2" s="375"/>
      <c r="AP2" s="375"/>
      <c r="AQ2" s="375"/>
      <c r="AR2" s="375"/>
      <c r="AS2" s="375"/>
    </row>
    <row r="3" spans="1:45" ht="21" customHeight="1">
      <c r="B3" s="259" t="s">
        <v>173</v>
      </c>
      <c r="C3" s="260">
        <f>SCHOOL!D2</f>
        <v>6</v>
      </c>
      <c r="D3" s="261"/>
      <c r="E3" s="261"/>
      <c r="F3" s="399" t="s">
        <v>174</v>
      </c>
      <c r="G3" s="399"/>
      <c r="H3" s="398" t="str">
        <f>SCHOOL!D3</f>
        <v xml:space="preserve"> ---</v>
      </c>
      <c r="I3" s="398"/>
      <c r="J3" s="261"/>
      <c r="K3" s="261"/>
      <c r="L3" s="261"/>
      <c r="M3" s="261"/>
      <c r="N3" s="399" t="s">
        <v>175</v>
      </c>
      <c r="O3" s="399"/>
      <c r="P3" s="398" t="str">
        <f>SCHOOL!D5</f>
        <v>2012-13</v>
      </c>
      <c r="Q3" s="398"/>
      <c r="R3" s="398"/>
      <c r="S3" s="398"/>
      <c r="T3" s="261"/>
      <c r="U3" s="261"/>
      <c r="V3" s="400" t="s">
        <v>173</v>
      </c>
      <c r="W3" s="400"/>
      <c r="X3" s="400"/>
      <c r="Y3" s="400"/>
      <c r="Z3" s="398">
        <f>C3</f>
        <v>6</v>
      </c>
      <c r="AA3" s="398"/>
      <c r="AD3" s="399" t="s">
        <v>174</v>
      </c>
      <c r="AE3" s="399"/>
      <c r="AF3" s="398" t="str">
        <f>H3</f>
        <v xml:space="preserve"> ---</v>
      </c>
      <c r="AG3" s="398"/>
      <c r="AJ3" s="399" t="s">
        <v>175</v>
      </c>
      <c r="AK3" s="399"/>
      <c r="AL3" s="398" t="str">
        <f>P3</f>
        <v>2012-13</v>
      </c>
      <c r="AM3" s="398"/>
      <c r="AN3" s="398"/>
      <c r="AO3" s="398"/>
      <c r="AP3" s="262"/>
      <c r="AQ3" s="262"/>
      <c r="AR3" s="262"/>
      <c r="AS3" s="262"/>
    </row>
    <row r="4" spans="1:45" ht="11.25" customHeight="1">
      <c r="B4" s="259"/>
      <c r="C4" s="261"/>
      <c r="D4" s="261"/>
      <c r="E4" s="261"/>
      <c r="F4" s="263"/>
      <c r="G4" s="263"/>
      <c r="H4" s="263"/>
      <c r="I4" s="263"/>
      <c r="J4" s="261"/>
      <c r="K4" s="261"/>
      <c r="L4" s="261"/>
      <c r="M4" s="261"/>
      <c r="N4" s="263"/>
      <c r="O4" s="263"/>
      <c r="P4" s="263"/>
      <c r="Q4" s="263"/>
      <c r="R4" s="263"/>
      <c r="S4" s="263"/>
      <c r="T4" s="261"/>
      <c r="U4" s="261"/>
      <c r="V4" s="264"/>
      <c r="W4" s="264"/>
      <c r="X4" s="264"/>
      <c r="Y4" s="264"/>
      <c r="Z4" s="263"/>
      <c r="AA4" s="263"/>
      <c r="AD4" s="263"/>
      <c r="AE4" s="263"/>
      <c r="AF4" s="263"/>
      <c r="AG4" s="263"/>
      <c r="AJ4" s="263"/>
      <c r="AK4" s="263"/>
      <c r="AL4" s="263"/>
      <c r="AM4" s="263"/>
      <c r="AN4" s="263"/>
      <c r="AO4" s="263"/>
      <c r="AP4" s="262"/>
      <c r="AQ4" s="262"/>
      <c r="AR4" s="262"/>
      <c r="AS4" s="262"/>
    </row>
    <row r="5" spans="1:45" ht="16.5" customHeight="1">
      <c r="B5" s="402" t="s">
        <v>86</v>
      </c>
      <c r="C5" s="405" t="s">
        <v>109</v>
      </c>
      <c r="D5" s="408" t="s">
        <v>110</v>
      </c>
      <c r="E5" s="409"/>
      <c r="F5" s="409"/>
      <c r="G5" s="409"/>
      <c r="H5" s="409"/>
      <c r="I5" s="409"/>
      <c r="J5" s="409"/>
      <c r="K5" s="410"/>
      <c r="L5" s="408" t="s">
        <v>112</v>
      </c>
      <c r="M5" s="409"/>
      <c r="N5" s="409"/>
      <c r="O5" s="409"/>
      <c r="P5" s="409"/>
      <c r="Q5" s="410"/>
      <c r="R5" s="408" t="s">
        <v>118</v>
      </c>
      <c r="S5" s="409"/>
      <c r="T5" s="409"/>
      <c r="U5" s="409"/>
      <c r="V5" s="409"/>
      <c r="W5" s="409"/>
      <c r="X5" s="409"/>
      <c r="Y5" s="409"/>
      <c r="Z5" s="409"/>
      <c r="AA5" s="409"/>
      <c r="AB5" s="409"/>
      <c r="AC5" s="409"/>
      <c r="AD5" s="409"/>
      <c r="AE5" s="409"/>
      <c r="AF5" s="409"/>
      <c r="AG5" s="409"/>
      <c r="AH5" s="409"/>
      <c r="AI5" s="410"/>
      <c r="AJ5" s="408" t="s">
        <v>120</v>
      </c>
      <c r="AK5" s="409"/>
      <c r="AL5" s="409"/>
      <c r="AM5" s="409"/>
      <c r="AN5" s="409"/>
      <c r="AO5" s="409"/>
      <c r="AP5" s="409"/>
      <c r="AQ5" s="410"/>
      <c r="AR5" s="408" t="s">
        <v>121</v>
      </c>
      <c r="AS5" s="410"/>
    </row>
    <row r="6" spans="1:45" ht="27.75" customHeight="1">
      <c r="B6" s="403"/>
      <c r="C6" s="406"/>
      <c r="D6" s="411" t="s">
        <v>111</v>
      </c>
      <c r="E6" s="412"/>
      <c r="F6" s="412"/>
      <c r="G6" s="412"/>
      <c r="H6" s="412"/>
      <c r="I6" s="412"/>
      <c r="J6" s="412"/>
      <c r="K6" s="413"/>
      <c r="L6" s="411" t="s">
        <v>113</v>
      </c>
      <c r="M6" s="412"/>
      <c r="N6" s="412"/>
      <c r="O6" s="412"/>
      <c r="P6" s="412"/>
      <c r="Q6" s="413"/>
      <c r="R6" s="411" t="s">
        <v>114</v>
      </c>
      <c r="S6" s="412"/>
      <c r="T6" s="412"/>
      <c r="U6" s="413"/>
      <c r="V6" s="411" t="s">
        <v>115</v>
      </c>
      <c r="W6" s="412"/>
      <c r="X6" s="412"/>
      <c r="Y6" s="413"/>
      <c r="Z6" s="411" t="s">
        <v>116</v>
      </c>
      <c r="AA6" s="412"/>
      <c r="AB6" s="412"/>
      <c r="AC6" s="412"/>
      <c r="AD6" s="413"/>
      <c r="AE6" s="411" t="s">
        <v>117</v>
      </c>
      <c r="AF6" s="412"/>
      <c r="AG6" s="412"/>
      <c r="AH6" s="412"/>
      <c r="AI6" s="413"/>
      <c r="AJ6" s="411" t="s">
        <v>119</v>
      </c>
      <c r="AK6" s="412"/>
      <c r="AL6" s="412"/>
      <c r="AM6" s="412"/>
      <c r="AN6" s="413"/>
      <c r="AO6" s="411" t="s">
        <v>64</v>
      </c>
      <c r="AP6" s="412"/>
      <c r="AQ6" s="413"/>
      <c r="AR6" s="414"/>
      <c r="AS6" s="415"/>
    </row>
    <row r="7" spans="1:45" ht="188.25" customHeight="1">
      <c r="B7" s="404"/>
      <c r="C7" s="407"/>
      <c r="D7" s="265" t="s">
        <v>123</v>
      </c>
      <c r="E7" s="266" t="s">
        <v>124</v>
      </c>
      <c r="F7" s="267" t="s">
        <v>125</v>
      </c>
      <c r="G7" s="267" t="s">
        <v>126</v>
      </c>
      <c r="H7" s="267" t="s">
        <v>127</v>
      </c>
      <c r="I7" s="267" t="s">
        <v>128</v>
      </c>
      <c r="J7" s="266" t="s">
        <v>129</v>
      </c>
      <c r="K7" s="268" t="s">
        <v>130</v>
      </c>
      <c r="L7" s="265" t="s">
        <v>131</v>
      </c>
      <c r="M7" s="267" t="s">
        <v>132</v>
      </c>
      <c r="N7" s="267" t="s">
        <v>133</v>
      </c>
      <c r="O7" s="267" t="s">
        <v>134</v>
      </c>
      <c r="P7" s="266" t="s">
        <v>135</v>
      </c>
      <c r="Q7" s="269" t="s">
        <v>136</v>
      </c>
      <c r="R7" s="265" t="s">
        <v>137</v>
      </c>
      <c r="S7" s="267" t="s">
        <v>138</v>
      </c>
      <c r="T7" s="267" t="s">
        <v>139</v>
      </c>
      <c r="U7" s="268" t="s">
        <v>140</v>
      </c>
      <c r="V7" s="265" t="s">
        <v>141</v>
      </c>
      <c r="W7" s="267" t="s">
        <v>142</v>
      </c>
      <c r="X7" s="267" t="s">
        <v>143</v>
      </c>
      <c r="Y7" s="268" t="s">
        <v>144</v>
      </c>
      <c r="Z7" s="265" t="s">
        <v>145</v>
      </c>
      <c r="AA7" s="267" t="s">
        <v>146</v>
      </c>
      <c r="AB7" s="267" t="s">
        <v>147</v>
      </c>
      <c r="AC7" s="270" t="s">
        <v>148</v>
      </c>
      <c r="AD7" s="269" t="s">
        <v>149</v>
      </c>
      <c r="AE7" s="265" t="s">
        <v>150</v>
      </c>
      <c r="AF7" s="267" t="s">
        <v>151</v>
      </c>
      <c r="AG7" s="267" t="s">
        <v>152</v>
      </c>
      <c r="AH7" s="270" t="s">
        <v>153</v>
      </c>
      <c r="AI7" s="268" t="s">
        <v>154</v>
      </c>
      <c r="AJ7" s="265" t="s">
        <v>159</v>
      </c>
      <c r="AK7" s="267" t="s">
        <v>155</v>
      </c>
      <c r="AL7" s="267" t="s">
        <v>156</v>
      </c>
      <c r="AM7" s="267" t="s">
        <v>157</v>
      </c>
      <c r="AN7" s="268" t="s">
        <v>158</v>
      </c>
      <c r="AO7" s="265" t="s">
        <v>160</v>
      </c>
      <c r="AP7" s="267" t="s">
        <v>161</v>
      </c>
      <c r="AQ7" s="269" t="s">
        <v>162</v>
      </c>
      <c r="AR7" s="271" t="s">
        <v>164</v>
      </c>
      <c r="AS7" s="272" t="s">
        <v>163</v>
      </c>
    </row>
    <row r="8" spans="1:45" ht="17.25" customHeight="1">
      <c r="A8" s="392">
        <v>1</v>
      </c>
      <c r="B8" s="397" t="str">
        <f>'A-RACHNATMAK'!B11</f>
        <v>ગોહેલ રાજેશભાઇ ચીથરભાઇ</v>
      </c>
      <c r="C8" s="273">
        <v>1</v>
      </c>
      <c r="D8" s="274"/>
      <c r="E8" s="275">
        <v>5</v>
      </c>
      <c r="F8" s="275">
        <v>6</v>
      </c>
      <c r="G8" s="275"/>
      <c r="H8" s="275"/>
      <c r="I8" s="275"/>
      <c r="J8" s="275"/>
      <c r="K8" s="276"/>
      <c r="L8" s="277"/>
      <c r="M8" s="278"/>
      <c r="N8" s="278"/>
      <c r="O8" s="278"/>
      <c r="P8" s="278"/>
      <c r="Q8" s="279"/>
      <c r="R8" s="277"/>
      <c r="S8" s="278"/>
      <c r="T8" s="278"/>
      <c r="U8" s="279"/>
      <c r="V8" s="277"/>
      <c r="W8" s="278"/>
      <c r="X8" s="278"/>
      <c r="Y8" s="279"/>
      <c r="Z8" s="277"/>
      <c r="AA8" s="278"/>
      <c r="AB8" s="278"/>
      <c r="AC8" s="278"/>
      <c r="AD8" s="279"/>
      <c r="AE8" s="277"/>
      <c r="AF8" s="278"/>
      <c r="AG8" s="278"/>
      <c r="AH8" s="278"/>
      <c r="AI8" s="279"/>
      <c r="AJ8" s="277"/>
      <c r="AK8" s="278"/>
      <c r="AL8" s="278"/>
      <c r="AM8" s="278"/>
      <c r="AN8" s="279"/>
      <c r="AO8" s="277"/>
      <c r="AP8" s="278"/>
      <c r="AQ8" s="279"/>
      <c r="AR8" s="280">
        <f>SUM(D8:AQ8)</f>
        <v>11</v>
      </c>
      <c r="AS8" s="394">
        <f>ROUND((AR8+AR9)/2,0)</f>
        <v>6</v>
      </c>
    </row>
    <row r="9" spans="1:45" ht="17.25" customHeight="1">
      <c r="A9" s="392"/>
      <c r="B9" s="393"/>
      <c r="C9" s="281">
        <v>2</v>
      </c>
      <c r="D9" s="282"/>
      <c r="E9" s="283"/>
      <c r="F9" s="283"/>
      <c r="G9" s="283"/>
      <c r="H9" s="283"/>
      <c r="I9" s="283"/>
      <c r="J9" s="283"/>
      <c r="K9" s="284"/>
      <c r="L9" s="285"/>
      <c r="M9" s="286"/>
      <c r="N9" s="286"/>
      <c r="O9" s="286"/>
      <c r="P9" s="286"/>
      <c r="Q9" s="287"/>
      <c r="R9" s="285"/>
      <c r="S9" s="286"/>
      <c r="T9" s="286"/>
      <c r="U9" s="287"/>
      <c r="V9" s="285"/>
      <c r="W9" s="286"/>
      <c r="X9" s="286"/>
      <c r="Y9" s="287"/>
      <c r="Z9" s="285"/>
      <c r="AA9" s="286"/>
      <c r="AB9" s="286"/>
      <c r="AC9" s="286"/>
      <c r="AD9" s="287"/>
      <c r="AE9" s="285"/>
      <c r="AF9" s="286"/>
      <c r="AG9" s="286"/>
      <c r="AH9" s="286"/>
      <c r="AI9" s="287"/>
      <c r="AJ9" s="285"/>
      <c r="AK9" s="286"/>
      <c r="AL9" s="286"/>
      <c r="AM9" s="286"/>
      <c r="AN9" s="287"/>
      <c r="AO9" s="285"/>
      <c r="AP9" s="286"/>
      <c r="AQ9" s="287"/>
      <c r="AR9" s="288">
        <f>SUM(D9:AQ9)</f>
        <v>0</v>
      </c>
      <c r="AS9" s="395"/>
    </row>
    <row r="10" spans="1:45" ht="17.25" customHeight="1">
      <c r="A10" s="392">
        <v>2</v>
      </c>
      <c r="B10" s="393" t="str">
        <f>'A-RACHNATMAK'!B12</f>
        <v>ખિમસુરીયા સાહિલકુમાર અરજણભાઇ</v>
      </c>
      <c r="C10" s="273">
        <v>1</v>
      </c>
      <c r="D10" s="274"/>
      <c r="E10" s="275"/>
      <c r="F10" s="275"/>
      <c r="G10" s="275"/>
      <c r="H10" s="275"/>
      <c r="I10" s="275"/>
      <c r="J10" s="275"/>
      <c r="K10" s="276"/>
      <c r="L10" s="277"/>
      <c r="M10" s="278"/>
      <c r="N10" s="278"/>
      <c r="O10" s="278"/>
      <c r="P10" s="278"/>
      <c r="Q10" s="279"/>
      <c r="R10" s="277"/>
      <c r="S10" s="278"/>
      <c r="T10" s="278"/>
      <c r="U10" s="279"/>
      <c r="V10" s="277"/>
      <c r="W10" s="278"/>
      <c r="X10" s="278"/>
      <c r="Y10" s="279"/>
      <c r="Z10" s="277"/>
      <c r="AA10" s="278"/>
      <c r="AB10" s="278"/>
      <c r="AC10" s="278"/>
      <c r="AD10" s="279"/>
      <c r="AE10" s="277"/>
      <c r="AF10" s="278"/>
      <c r="AG10" s="278"/>
      <c r="AH10" s="278"/>
      <c r="AI10" s="279"/>
      <c r="AJ10" s="277"/>
      <c r="AK10" s="278"/>
      <c r="AL10" s="278"/>
      <c r="AM10" s="278"/>
      <c r="AN10" s="279"/>
      <c r="AO10" s="277"/>
      <c r="AP10" s="278"/>
      <c r="AQ10" s="279"/>
      <c r="AR10" s="280">
        <f>SUM(D10:AQ10)</f>
        <v>0</v>
      </c>
      <c r="AS10" s="394">
        <f>ROUND((AR10+AR11)/2,0)</f>
        <v>16</v>
      </c>
    </row>
    <row r="11" spans="1:45" ht="17.25" customHeight="1">
      <c r="A11" s="392"/>
      <c r="B11" s="393"/>
      <c r="C11" s="281">
        <v>2</v>
      </c>
      <c r="D11" s="282"/>
      <c r="E11" s="283">
        <v>4</v>
      </c>
      <c r="F11" s="283">
        <v>6</v>
      </c>
      <c r="G11" s="283">
        <v>2</v>
      </c>
      <c r="H11" s="283"/>
      <c r="I11" s="283"/>
      <c r="J11" s="283"/>
      <c r="K11" s="284">
        <v>2</v>
      </c>
      <c r="L11" s="285"/>
      <c r="M11" s="286">
        <v>7</v>
      </c>
      <c r="N11" s="286">
        <v>10</v>
      </c>
      <c r="O11" s="286"/>
      <c r="P11" s="286"/>
      <c r="Q11" s="287"/>
      <c r="R11" s="285"/>
      <c r="S11" s="286"/>
      <c r="T11" s="286"/>
      <c r="U11" s="287"/>
      <c r="V11" s="285"/>
      <c r="W11" s="286"/>
      <c r="X11" s="286"/>
      <c r="Y11" s="287"/>
      <c r="Z11" s="285"/>
      <c r="AA11" s="286"/>
      <c r="AB11" s="286"/>
      <c r="AC11" s="286"/>
      <c r="AD11" s="287"/>
      <c r="AE11" s="285"/>
      <c r="AF11" s="286"/>
      <c r="AG11" s="286"/>
      <c r="AH11" s="286"/>
      <c r="AI11" s="287"/>
      <c r="AJ11" s="285"/>
      <c r="AK11" s="286"/>
      <c r="AL11" s="286"/>
      <c r="AM11" s="286"/>
      <c r="AN11" s="287"/>
      <c r="AO11" s="285"/>
      <c r="AP11" s="286"/>
      <c r="AQ11" s="287"/>
      <c r="AR11" s="288">
        <f>SUM(D11:AQ11)</f>
        <v>31</v>
      </c>
      <c r="AS11" s="395"/>
    </row>
    <row r="12" spans="1:45" ht="17.25" customHeight="1">
      <c r="A12" s="392">
        <v>3</v>
      </c>
      <c r="B12" s="393" t="str">
        <f>'A-RACHNATMAK'!B13</f>
        <v>ગરણિયા મયુરકુમાર અશોકભાઇ</v>
      </c>
      <c r="C12" s="273">
        <v>1</v>
      </c>
      <c r="D12" s="274"/>
      <c r="E12" s="275"/>
      <c r="F12" s="275"/>
      <c r="G12" s="275"/>
      <c r="H12" s="275"/>
      <c r="I12" s="275"/>
      <c r="J12" s="275"/>
      <c r="K12" s="276"/>
      <c r="L12" s="277"/>
      <c r="M12" s="278"/>
      <c r="N12" s="278"/>
      <c r="O12" s="278"/>
      <c r="P12" s="278"/>
      <c r="Q12" s="279"/>
      <c r="R12" s="277"/>
      <c r="S12" s="278"/>
      <c r="T12" s="278"/>
      <c r="U12" s="279"/>
      <c r="V12" s="277"/>
      <c r="W12" s="278"/>
      <c r="X12" s="278"/>
      <c r="Y12" s="279"/>
      <c r="Z12" s="277"/>
      <c r="AA12" s="278"/>
      <c r="AB12" s="278"/>
      <c r="AC12" s="278"/>
      <c r="AD12" s="279"/>
      <c r="AE12" s="277"/>
      <c r="AF12" s="278"/>
      <c r="AG12" s="278"/>
      <c r="AH12" s="278"/>
      <c r="AI12" s="279"/>
      <c r="AJ12" s="277"/>
      <c r="AK12" s="278"/>
      <c r="AL12" s="278"/>
      <c r="AM12" s="278"/>
      <c r="AN12" s="279"/>
      <c r="AO12" s="277"/>
      <c r="AP12" s="278"/>
      <c r="AQ12" s="279"/>
      <c r="AR12" s="280">
        <f t="shared" ref="AR12:AR43" si="0">SUM(D12:AQ12)</f>
        <v>0</v>
      </c>
      <c r="AS12" s="394">
        <f>ROUND((AR12+AR13)/2,0)</f>
        <v>0</v>
      </c>
    </row>
    <row r="13" spans="1:45" ht="17.25" customHeight="1">
      <c r="A13" s="392"/>
      <c r="B13" s="393"/>
      <c r="C13" s="281">
        <v>2</v>
      </c>
      <c r="D13" s="282"/>
      <c r="E13" s="283"/>
      <c r="F13" s="283"/>
      <c r="G13" s="283"/>
      <c r="H13" s="283"/>
      <c r="I13" s="283"/>
      <c r="J13" s="283"/>
      <c r="K13" s="284"/>
      <c r="L13" s="285"/>
      <c r="M13" s="286"/>
      <c r="N13" s="286"/>
      <c r="O13" s="286"/>
      <c r="P13" s="286"/>
      <c r="Q13" s="287"/>
      <c r="R13" s="285"/>
      <c r="S13" s="286"/>
      <c r="T13" s="286"/>
      <c r="U13" s="287"/>
      <c r="V13" s="285"/>
      <c r="W13" s="286"/>
      <c r="X13" s="286"/>
      <c r="Y13" s="287"/>
      <c r="Z13" s="285"/>
      <c r="AA13" s="286"/>
      <c r="AB13" s="286"/>
      <c r="AC13" s="286"/>
      <c r="AD13" s="287"/>
      <c r="AE13" s="285"/>
      <c r="AF13" s="286"/>
      <c r="AG13" s="286"/>
      <c r="AH13" s="286"/>
      <c r="AI13" s="287"/>
      <c r="AJ13" s="285"/>
      <c r="AK13" s="286"/>
      <c r="AL13" s="286"/>
      <c r="AM13" s="286"/>
      <c r="AN13" s="287"/>
      <c r="AO13" s="285"/>
      <c r="AP13" s="286"/>
      <c r="AQ13" s="287"/>
      <c r="AR13" s="288">
        <f t="shared" si="0"/>
        <v>0</v>
      </c>
      <c r="AS13" s="395"/>
    </row>
    <row r="14" spans="1:45" ht="17.25" customHeight="1">
      <c r="A14" s="392">
        <v>4</v>
      </c>
      <c r="B14" s="393" t="str">
        <f>'A-RACHNATMAK'!B14</f>
        <v>ગરણિયા અલ્પેશકુમાર મેરામભાઇ</v>
      </c>
      <c r="C14" s="273">
        <v>1</v>
      </c>
      <c r="D14" s="274"/>
      <c r="E14" s="275"/>
      <c r="F14" s="275"/>
      <c r="G14" s="275"/>
      <c r="H14" s="275"/>
      <c r="I14" s="275"/>
      <c r="J14" s="275"/>
      <c r="K14" s="276"/>
      <c r="L14" s="277"/>
      <c r="M14" s="278"/>
      <c r="N14" s="278"/>
      <c r="O14" s="278"/>
      <c r="P14" s="278"/>
      <c r="Q14" s="279"/>
      <c r="R14" s="277"/>
      <c r="S14" s="278"/>
      <c r="T14" s="278"/>
      <c r="U14" s="279"/>
      <c r="V14" s="277"/>
      <c r="W14" s="278"/>
      <c r="X14" s="278"/>
      <c r="Y14" s="279"/>
      <c r="Z14" s="277"/>
      <c r="AA14" s="278"/>
      <c r="AB14" s="278"/>
      <c r="AC14" s="278"/>
      <c r="AD14" s="279"/>
      <c r="AE14" s="277"/>
      <c r="AF14" s="278"/>
      <c r="AG14" s="278"/>
      <c r="AH14" s="278"/>
      <c r="AI14" s="279"/>
      <c r="AJ14" s="277"/>
      <c r="AK14" s="278"/>
      <c r="AL14" s="278"/>
      <c r="AM14" s="278"/>
      <c r="AN14" s="279"/>
      <c r="AO14" s="277"/>
      <c r="AP14" s="278"/>
      <c r="AQ14" s="279"/>
      <c r="AR14" s="280">
        <f t="shared" si="0"/>
        <v>0</v>
      </c>
      <c r="AS14" s="394">
        <f>ROUND((AR14+AR15)/2,0)</f>
        <v>0</v>
      </c>
    </row>
    <row r="15" spans="1:45" ht="17.25" customHeight="1">
      <c r="A15" s="392"/>
      <c r="B15" s="393"/>
      <c r="C15" s="281">
        <v>2</v>
      </c>
      <c r="D15" s="282"/>
      <c r="E15" s="283"/>
      <c r="F15" s="283"/>
      <c r="G15" s="283"/>
      <c r="H15" s="283"/>
      <c r="I15" s="283"/>
      <c r="J15" s="283"/>
      <c r="K15" s="284"/>
      <c r="L15" s="285"/>
      <c r="M15" s="286"/>
      <c r="N15" s="286"/>
      <c r="O15" s="286"/>
      <c r="P15" s="286"/>
      <c r="Q15" s="287"/>
      <c r="R15" s="285"/>
      <c r="S15" s="286"/>
      <c r="T15" s="286"/>
      <c r="U15" s="287"/>
      <c r="V15" s="285"/>
      <c r="W15" s="286"/>
      <c r="X15" s="286"/>
      <c r="Y15" s="287"/>
      <c r="Z15" s="285"/>
      <c r="AA15" s="286"/>
      <c r="AB15" s="286"/>
      <c r="AC15" s="286"/>
      <c r="AD15" s="287"/>
      <c r="AE15" s="285"/>
      <c r="AF15" s="286"/>
      <c r="AG15" s="286"/>
      <c r="AH15" s="286"/>
      <c r="AI15" s="287"/>
      <c r="AJ15" s="285"/>
      <c r="AK15" s="286"/>
      <c r="AL15" s="286"/>
      <c r="AM15" s="286"/>
      <c r="AN15" s="287"/>
      <c r="AO15" s="285"/>
      <c r="AP15" s="286"/>
      <c r="AQ15" s="287"/>
      <c r="AR15" s="288">
        <f t="shared" si="0"/>
        <v>0</v>
      </c>
      <c r="AS15" s="395"/>
    </row>
    <row r="16" spans="1:45" ht="17.25" customHeight="1">
      <c r="A16" s="392">
        <v>5</v>
      </c>
      <c r="B16" s="393" t="str">
        <f>'A-RACHNATMAK'!B15</f>
        <v>ગરણિયા મિલન પોપટભાઇ</v>
      </c>
      <c r="C16" s="273">
        <v>1</v>
      </c>
      <c r="D16" s="274"/>
      <c r="E16" s="275"/>
      <c r="F16" s="275"/>
      <c r="G16" s="275"/>
      <c r="H16" s="275"/>
      <c r="I16" s="275"/>
      <c r="J16" s="275"/>
      <c r="K16" s="276"/>
      <c r="L16" s="277"/>
      <c r="M16" s="278"/>
      <c r="N16" s="278"/>
      <c r="O16" s="278"/>
      <c r="P16" s="278"/>
      <c r="Q16" s="279"/>
      <c r="R16" s="277"/>
      <c r="S16" s="278"/>
      <c r="T16" s="278"/>
      <c r="U16" s="279"/>
      <c r="V16" s="277"/>
      <c r="W16" s="278"/>
      <c r="X16" s="278"/>
      <c r="Y16" s="279"/>
      <c r="Z16" s="277"/>
      <c r="AA16" s="278"/>
      <c r="AB16" s="278"/>
      <c r="AC16" s="278"/>
      <c r="AD16" s="279"/>
      <c r="AE16" s="277"/>
      <c r="AF16" s="278"/>
      <c r="AG16" s="278"/>
      <c r="AH16" s="278"/>
      <c r="AI16" s="279"/>
      <c r="AJ16" s="277"/>
      <c r="AK16" s="278"/>
      <c r="AL16" s="278"/>
      <c r="AM16" s="278"/>
      <c r="AN16" s="279"/>
      <c r="AO16" s="277"/>
      <c r="AP16" s="278"/>
      <c r="AQ16" s="279"/>
      <c r="AR16" s="280">
        <f t="shared" si="0"/>
        <v>0</v>
      </c>
      <c r="AS16" s="394">
        <f>ROUND((AR16+AR17)/2,0)</f>
        <v>0</v>
      </c>
    </row>
    <row r="17" spans="1:45" ht="17.25" customHeight="1">
      <c r="A17" s="392"/>
      <c r="B17" s="393"/>
      <c r="C17" s="281">
        <v>2</v>
      </c>
      <c r="D17" s="282"/>
      <c r="E17" s="283"/>
      <c r="F17" s="283"/>
      <c r="G17" s="283"/>
      <c r="H17" s="283"/>
      <c r="I17" s="283"/>
      <c r="J17" s="283"/>
      <c r="K17" s="284"/>
      <c r="L17" s="285"/>
      <c r="M17" s="286"/>
      <c r="N17" s="286"/>
      <c r="O17" s="286"/>
      <c r="P17" s="286"/>
      <c r="Q17" s="287"/>
      <c r="R17" s="285"/>
      <c r="S17" s="286"/>
      <c r="T17" s="286"/>
      <c r="U17" s="287"/>
      <c r="V17" s="285"/>
      <c r="W17" s="286"/>
      <c r="X17" s="286"/>
      <c r="Y17" s="287"/>
      <c r="Z17" s="285"/>
      <c r="AA17" s="286"/>
      <c r="AB17" s="286"/>
      <c r="AC17" s="286"/>
      <c r="AD17" s="287"/>
      <c r="AE17" s="285"/>
      <c r="AF17" s="286"/>
      <c r="AG17" s="286"/>
      <c r="AH17" s="286"/>
      <c r="AI17" s="287"/>
      <c r="AJ17" s="285"/>
      <c r="AK17" s="286"/>
      <c r="AL17" s="286"/>
      <c r="AM17" s="286"/>
      <c r="AN17" s="287"/>
      <c r="AO17" s="285"/>
      <c r="AP17" s="286"/>
      <c r="AQ17" s="287"/>
      <c r="AR17" s="288">
        <f t="shared" si="0"/>
        <v>0</v>
      </c>
      <c r="AS17" s="395"/>
    </row>
    <row r="18" spans="1:45" ht="17.25" customHeight="1">
      <c r="A18" s="392">
        <v>6</v>
      </c>
      <c r="B18" s="393" t="str">
        <f>'A-RACHNATMAK'!B16</f>
        <v>ગરણિયા મોહિત રાવતભાઇ</v>
      </c>
      <c r="C18" s="273">
        <v>1</v>
      </c>
      <c r="D18" s="274"/>
      <c r="E18" s="275"/>
      <c r="F18" s="275"/>
      <c r="G18" s="275"/>
      <c r="H18" s="275"/>
      <c r="I18" s="275"/>
      <c r="J18" s="275"/>
      <c r="K18" s="276"/>
      <c r="L18" s="277"/>
      <c r="M18" s="278"/>
      <c r="N18" s="278"/>
      <c r="O18" s="278"/>
      <c r="P18" s="278"/>
      <c r="Q18" s="279"/>
      <c r="R18" s="277"/>
      <c r="S18" s="278"/>
      <c r="T18" s="278"/>
      <c r="U18" s="279"/>
      <c r="V18" s="277"/>
      <c r="W18" s="278"/>
      <c r="X18" s="278"/>
      <c r="Y18" s="279"/>
      <c r="Z18" s="277"/>
      <c r="AA18" s="278"/>
      <c r="AB18" s="278"/>
      <c r="AC18" s="278"/>
      <c r="AD18" s="279"/>
      <c r="AE18" s="277"/>
      <c r="AF18" s="278"/>
      <c r="AG18" s="278"/>
      <c r="AH18" s="278"/>
      <c r="AI18" s="279"/>
      <c r="AJ18" s="277"/>
      <c r="AK18" s="278"/>
      <c r="AL18" s="278"/>
      <c r="AM18" s="278"/>
      <c r="AN18" s="279"/>
      <c r="AO18" s="277"/>
      <c r="AP18" s="278"/>
      <c r="AQ18" s="279"/>
      <c r="AR18" s="280">
        <f t="shared" si="0"/>
        <v>0</v>
      </c>
      <c r="AS18" s="394">
        <f>ROUND((AR18+AR19)/2,0)</f>
        <v>0</v>
      </c>
    </row>
    <row r="19" spans="1:45" ht="17.25" customHeight="1">
      <c r="A19" s="392"/>
      <c r="B19" s="393"/>
      <c r="C19" s="281">
        <v>2</v>
      </c>
      <c r="D19" s="282"/>
      <c r="E19" s="283"/>
      <c r="F19" s="283"/>
      <c r="G19" s="283"/>
      <c r="H19" s="283"/>
      <c r="I19" s="283"/>
      <c r="J19" s="283"/>
      <c r="K19" s="284"/>
      <c r="L19" s="285"/>
      <c r="M19" s="286"/>
      <c r="N19" s="286"/>
      <c r="O19" s="286"/>
      <c r="P19" s="286"/>
      <c r="Q19" s="287"/>
      <c r="R19" s="285"/>
      <c r="S19" s="286"/>
      <c r="T19" s="286"/>
      <c r="U19" s="287"/>
      <c r="V19" s="285"/>
      <c r="W19" s="286"/>
      <c r="X19" s="286"/>
      <c r="Y19" s="287"/>
      <c r="Z19" s="285"/>
      <c r="AA19" s="286"/>
      <c r="AB19" s="286"/>
      <c r="AC19" s="286"/>
      <c r="AD19" s="287"/>
      <c r="AE19" s="285"/>
      <c r="AF19" s="286"/>
      <c r="AG19" s="286"/>
      <c r="AH19" s="286"/>
      <c r="AI19" s="287"/>
      <c r="AJ19" s="285"/>
      <c r="AK19" s="286"/>
      <c r="AL19" s="286"/>
      <c r="AM19" s="286"/>
      <c r="AN19" s="287"/>
      <c r="AO19" s="285"/>
      <c r="AP19" s="286"/>
      <c r="AQ19" s="287"/>
      <c r="AR19" s="288">
        <f t="shared" si="0"/>
        <v>0</v>
      </c>
      <c r="AS19" s="395"/>
    </row>
    <row r="20" spans="1:45" ht="17.25" customHeight="1">
      <c r="A20" s="392">
        <v>7</v>
      </c>
      <c r="B20" s="393" t="str">
        <f>'A-RACHNATMAK'!B17</f>
        <v>ગરણિયા સુમિત પોપટભાઇ</v>
      </c>
      <c r="C20" s="273">
        <v>1</v>
      </c>
      <c r="D20" s="274"/>
      <c r="E20" s="275"/>
      <c r="F20" s="275"/>
      <c r="G20" s="275"/>
      <c r="H20" s="275"/>
      <c r="I20" s="275"/>
      <c r="J20" s="275"/>
      <c r="K20" s="276"/>
      <c r="L20" s="277"/>
      <c r="M20" s="278"/>
      <c r="N20" s="278"/>
      <c r="O20" s="278"/>
      <c r="P20" s="278"/>
      <c r="Q20" s="279"/>
      <c r="R20" s="277"/>
      <c r="S20" s="278"/>
      <c r="T20" s="278"/>
      <c r="U20" s="279"/>
      <c r="V20" s="277"/>
      <c r="W20" s="278"/>
      <c r="X20" s="278"/>
      <c r="Y20" s="279"/>
      <c r="Z20" s="277"/>
      <c r="AA20" s="278"/>
      <c r="AB20" s="278"/>
      <c r="AC20" s="278"/>
      <c r="AD20" s="279"/>
      <c r="AE20" s="277"/>
      <c r="AF20" s="278"/>
      <c r="AG20" s="278"/>
      <c r="AH20" s="278"/>
      <c r="AI20" s="279"/>
      <c r="AJ20" s="277"/>
      <c r="AK20" s="278"/>
      <c r="AL20" s="278"/>
      <c r="AM20" s="278"/>
      <c r="AN20" s="279"/>
      <c r="AO20" s="277"/>
      <c r="AP20" s="278"/>
      <c r="AQ20" s="279"/>
      <c r="AR20" s="280">
        <f t="shared" si="0"/>
        <v>0</v>
      </c>
      <c r="AS20" s="394">
        <f>ROUND((AR20+AR21)/2,0)</f>
        <v>0</v>
      </c>
    </row>
    <row r="21" spans="1:45" ht="17.25" customHeight="1">
      <c r="A21" s="392"/>
      <c r="B21" s="393"/>
      <c r="C21" s="281">
        <v>2</v>
      </c>
      <c r="D21" s="282"/>
      <c r="E21" s="283"/>
      <c r="F21" s="283"/>
      <c r="G21" s="283"/>
      <c r="H21" s="283"/>
      <c r="I21" s="283"/>
      <c r="J21" s="283"/>
      <c r="K21" s="284"/>
      <c r="L21" s="285"/>
      <c r="M21" s="286"/>
      <c r="N21" s="286"/>
      <c r="O21" s="286"/>
      <c r="P21" s="286"/>
      <c r="Q21" s="287"/>
      <c r="R21" s="285"/>
      <c r="S21" s="286"/>
      <c r="T21" s="286"/>
      <c r="U21" s="287"/>
      <c r="V21" s="285"/>
      <c r="W21" s="286"/>
      <c r="X21" s="286"/>
      <c r="Y21" s="287"/>
      <c r="Z21" s="285"/>
      <c r="AA21" s="286"/>
      <c r="AB21" s="286"/>
      <c r="AC21" s="286"/>
      <c r="AD21" s="287"/>
      <c r="AE21" s="285"/>
      <c r="AF21" s="286"/>
      <c r="AG21" s="286"/>
      <c r="AH21" s="286"/>
      <c r="AI21" s="287"/>
      <c r="AJ21" s="285"/>
      <c r="AK21" s="286"/>
      <c r="AL21" s="286"/>
      <c r="AM21" s="286"/>
      <c r="AN21" s="287"/>
      <c r="AO21" s="285"/>
      <c r="AP21" s="286"/>
      <c r="AQ21" s="287"/>
      <c r="AR21" s="288">
        <f t="shared" si="0"/>
        <v>0</v>
      </c>
      <c r="AS21" s="395"/>
    </row>
    <row r="22" spans="1:45" ht="17.25" customHeight="1">
      <c r="A22" s="392">
        <v>8</v>
      </c>
      <c r="B22" s="393" t="str">
        <f>'A-RACHNATMAK'!B28</f>
        <v>વાઘેલા હરેશ જીલુભાઇ</v>
      </c>
      <c r="C22" s="273">
        <v>1</v>
      </c>
      <c r="D22" s="274"/>
      <c r="E22" s="275"/>
      <c r="F22" s="275"/>
      <c r="G22" s="275"/>
      <c r="H22" s="275"/>
      <c r="I22" s="275"/>
      <c r="J22" s="275"/>
      <c r="K22" s="276"/>
      <c r="L22" s="277"/>
      <c r="M22" s="278"/>
      <c r="N22" s="278"/>
      <c r="O22" s="278"/>
      <c r="P22" s="278"/>
      <c r="Q22" s="279"/>
      <c r="R22" s="277"/>
      <c r="S22" s="278"/>
      <c r="T22" s="278"/>
      <c r="U22" s="279"/>
      <c r="V22" s="277"/>
      <c r="W22" s="278"/>
      <c r="X22" s="278"/>
      <c r="Y22" s="279"/>
      <c r="Z22" s="277"/>
      <c r="AA22" s="278"/>
      <c r="AB22" s="278"/>
      <c r="AC22" s="278"/>
      <c r="AD22" s="279"/>
      <c r="AE22" s="277"/>
      <c r="AF22" s="278"/>
      <c r="AG22" s="278"/>
      <c r="AH22" s="278"/>
      <c r="AI22" s="279"/>
      <c r="AJ22" s="277"/>
      <c r="AK22" s="278"/>
      <c r="AL22" s="278"/>
      <c r="AM22" s="278"/>
      <c r="AN22" s="279"/>
      <c r="AO22" s="277"/>
      <c r="AP22" s="278"/>
      <c r="AQ22" s="279"/>
      <c r="AR22" s="280">
        <f t="shared" si="0"/>
        <v>0</v>
      </c>
      <c r="AS22" s="394">
        <f>ROUND((AR22+AR23)/2,0)</f>
        <v>0</v>
      </c>
    </row>
    <row r="23" spans="1:45" ht="17.25" customHeight="1">
      <c r="A23" s="392"/>
      <c r="B23" s="393"/>
      <c r="C23" s="281">
        <v>2</v>
      </c>
      <c r="D23" s="282"/>
      <c r="E23" s="283"/>
      <c r="F23" s="283"/>
      <c r="G23" s="283"/>
      <c r="H23" s="283"/>
      <c r="I23" s="283"/>
      <c r="J23" s="283"/>
      <c r="K23" s="284"/>
      <c r="L23" s="285"/>
      <c r="M23" s="286"/>
      <c r="N23" s="286"/>
      <c r="O23" s="286"/>
      <c r="P23" s="286"/>
      <c r="Q23" s="287"/>
      <c r="R23" s="285"/>
      <c r="S23" s="286"/>
      <c r="T23" s="286"/>
      <c r="U23" s="287"/>
      <c r="V23" s="285"/>
      <c r="W23" s="286"/>
      <c r="X23" s="286"/>
      <c r="Y23" s="287"/>
      <c r="Z23" s="285"/>
      <c r="AA23" s="286"/>
      <c r="AB23" s="286"/>
      <c r="AC23" s="286"/>
      <c r="AD23" s="287"/>
      <c r="AE23" s="285"/>
      <c r="AF23" s="286"/>
      <c r="AG23" s="286"/>
      <c r="AH23" s="286"/>
      <c r="AI23" s="287"/>
      <c r="AJ23" s="285"/>
      <c r="AK23" s="286"/>
      <c r="AL23" s="286"/>
      <c r="AM23" s="286"/>
      <c r="AN23" s="287"/>
      <c r="AO23" s="285"/>
      <c r="AP23" s="286"/>
      <c r="AQ23" s="287"/>
      <c r="AR23" s="288">
        <f t="shared" si="0"/>
        <v>0</v>
      </c>
      <c r="AS23" s="395"/>
    </row>
    <row r="24" spans="1:45" ht="17.25" customHeight="1">
      <c r="A24" s="392">
        <v>9</v>
      </c>
      <c r="B24" s="393" t="str">
        <f>'A-RACHNATMAK'!B19</f>
        <v>ડેર હિતેષકુમાર પ્રતાપભાઇ</v>
      </c>
      <c r="C24" s="273">
        <v>1</v>
      </c>
      <c r="D24" s="274"/>
      <c r="E24" s="275"/>
      <c r="F24" s="275"/>
      <c r="G24" s="275"/>
      <c r="H24" s="275"/>
      <c r="I24" s="275"/>
      <c r="J24" s="275"/>
      <c r="K24" s="276"/>
      <c r="L24" s="277"/>
      <c r="M24" s="278"/>
      <c r="N24" s="278"/>
      <c r="O24" s="278"/>
      <c r="P24" s="278"/>
      <c r="Q24" s="279"/>
      <c r="R24" s="277"/>
      <c r="S24" s="278"/>
      <c r="T24" s="278"/>
      <c r="U24" s="279"/>
      <c r="V24" s="277"/>
      <c r="W24" s="278"/>
      <c r="X24" s="278"/>
      <c r="Y24" s="279"/>
      <c r="Z24" s="277"/>
      <c r="AA24" s="278"/>
      <c r="AB24" s="278"/>
      <c r="AC24" s="278"/>
      <c r="AD24" s="279"/>
      <c r="AE24" s="277"/>
      <c r="AF24" s="278"/>
      <c r="AG24" s="278"/>
      <c r="AH24" s="278"/>
      <c r="AI24" s="279"/>
      <c r="AJ24" s="277"/>
      <c r="AK24" s="278"/>
      <c r="AL24" s="278"/>
      <c r="AM24" s="278"/>
      <c r="AN24" s="279"/>
      <c r="AO24" s="277"/>
      <c r="AP24" s="278"/>
      <c r="AQ24" s="279"/>
      <c r="AR24" s="280">
        <f t="shared" si="0"/>
        <v>0</v>
      </c>
      <c r="AS24" s="394">
        <f>ROUND((AR24+AR25)/2,0)</f>
        <v>0</v>
      </c>
    </row>
    <row r="25" spans="1:45" ht="17.25" customHeight="1">
      <c r="A25" s="392"/>
      <c r="B25" s="393"/>
      <c r="C25" s="281">
        <v>2</v>
      </c>
      <c r="D25" s="282"/>
      <c r="E25" s="283"/>
      <c r="F25" s="283"/>
      <c r="G25" s="283"/>
      <c r="H25" s="283"/>
      <c r="I25" s="283"/>
      <c r="J25" s="283"/>
      <c r="K25" s="284"/>
      <c r="L25" s="285"/>
      <c r="M25" s="286"/>
      <c r="N25" s="286"/>
      <c r="O25" s="286"/>
      <c r="P25" s="286"/>
      <c r="Q25" s="287"/>
      <c r="R25" s="285"/>
      <c r="S25" s="286"/>
      <c r="T25" s="286"/>
      <c r="U25" s="287"/>
      <c r="V25" s="285"/>
      <c r="W25" s="286"/>
      <c r="X25" s="286"/>
      <c r="Y25" s="287"/>
      <c r="Z25" s="285"/>
      <c r="AA25" s="286"/>
      <c r="AB25" s="286"/>
      <c r="AC25" s="286"/>
      <c r="AD25" s="287"/>
      <c r="AE25" s="285"/>
      <c r="AF25" s="286"/>
      <c r="AG25" s="286"/>
      <c r="AH25" s="286"/>
      <c r="AI25" s="287"/>
      <c r="AJ25" s="285"/>
      <c r="AK25" s="286"/>
      <c r="AL25" s="286"/>
      <c r="AM25" s="286"/>
      <c r="AN25" s="287"/>
      <c r="AO25" s="285"/>
      <c r="AP25" s="286"/>
      <c r="AQ25" s="287"/>
      <c r="AR25" s="288">
        <f t="shared" si="0"/>
        <v>0</v>
      </c>
      <c r="AS25" s="395"/>
    </row>
    <row r="26" spans="1:45" ht="17.25" customHeight="1">
      <c r="A26" s="392">
        <v>10</v>
      </c>
      <c r="B26" s="393" t="str">
        <f>'A-RACHNATMAK'!B20</f>
        <v>વેકરીયા વિશાલકુમાર દિપકભાઇ</v>
      </c>
      <c r="C26" s="273">
        <v>1</v>
      </c>
      <c r="D26" s="274"/>
      <c r="E26" s="275"/>
      <c r="F26" s="275"/>
      <c r="G26" s="275"/>
      <c r="H26" s="275"/>
      <c r="I26" s="275"/>
      <c r="J26" s="275"/>
      <c r="K26" s="276"/>
      <c r="L26" s="277"/>
      <c r="M26" s="278"/>
      <c r="N26" s="278"/>
      <c r="O26" s="278"/>
      <c r="P26" s="278"/>
      <c r="Q26" s="279"/>
      <c r="R26" s="277"/>
      <c r="S26" s="278"/>
      <c r="T26" s="278"/>
      <c r="U26" s="279"/>
      <c r="V26" s="277"/>
      <c r="W26" s="278"/>
      <c r="X26" s="278"/>
      <c r="Y26" s="279"/>
      <c r="Z26" s="277"/>
      <c r="AA26" s="278"/>
      <c r="AB26" s="278"/>
      <c r="AC26" s="278"/>
      <c r="AD26" s="279"/>
      <c r="AE26" s="277"/>
      <c r="AF26" s="278"/>
      <c r="AG26" s="278"/>
      <c r="AH26" s="278"/>
      <c r="AI26" s="279"/>
      <c r="AJ26" s="277"/>
      <c r="AK26" s="278"/>
      <c r="AL26" s="278"/>
      <c r="AM26" s="278"/>
      <c r="AN26" s="279"/>
      <c r="AO26" s="277"/>
      <c r="AP26" s="278"/>
      <c r="AQ26" s="279"/>
      <c r="AR26" s="280">
        <f t="shared" si="0"/>
        <v>0</v>
      </c>
      <c r="AS26" s="394">
        <f>ROUND((AR26+AR27)/2,0)</f>
        <v>0</v>
      </c>
    </row>
    <row r="27" spans="1:45" ht="17.25" customHeight="1">
      <c r="A27" s="392"/>
      <c r="B27" s="393"/>
      <c r="C27" s="281">
        <v>2</v>
      </c>
      <c r="D27" s="282"/>
      <c r="E27" s="283"/>
      <c r="F27" s="283"/>
      <c r="G27" s="283"/>
      <c r="H27" s="283"/>
      <c r="I27" s="283"/>
      <c r="J27" s="283"/>
      <c r="K27" s="284"/>
      <c r="L27" s="285"/>
      <c r="M27" s="286"/>
      <c r="N27" s="286"/>
      <c r="O27" s="286"/>
      <c r="P27" s="286"/>
      <c r="Q27" s="287"/>
      <c r="R27" s="285"/>
      <c r="S27" s="286"/>
      <c r="T27" s="286"/>
      <c r="U27" s="287"/>
      <c r="V27" s="285"/>
      <c r="W27" s="286"/>
      <c r="X27" s="286"/>
      <c r="Y27" s="287"/>
      <c r="Z27" s="285"/>
      <c r="AA27" s="286"/>
      <c r="AB27" s="286"/>
      <c r="AC27" s="286"/>
      <c r="AD27" s="287"/>
      <c r="AE27" s="285"/>
      <c r="AF27" s="286"/>
      <c r="AG27" s="286"/>
      <c r="AH27" s="286"/>
      <c r="AI27" s="287"/>
      <c r="AJ27" s="285"/>
      <c r="AK27" s="286"/>
      <c r="AL27" s="286"/>
      <c r="AM27" s="286"/>
      <c r="AN27" s="287"/>
      <c r="AO27" s="285"/>
      <c r="AP27" s="286"/>
      <c r="AQ27" s="287"/>
      <c r="AR27" s="288">
        <f t="shared" si="0"/>
        <v>0</v>
      </c>
      <c r="AS27" s="395"/>
    </row>
    <row r="28" spans="1:45" ht="17.25" customHeight="1">
      <c r="A28" s="392">
        <v>11</v>
      </c>
      <c r="B28" s="393" t="str">
        <f>'A-RACHNATMAK'!B21</f>
        <v>માણસુરીયા મહેન્દ્રભાઇ ભૂપતભાઇ</v>
      </c>
      <c r="C28" s="273">
        <v>1</v>
      </c>
      <c r="D28" s="274"/>
      <c r="E28" s="275"/>
      <c r="F28" s="275"/>
      <c r="G28" s="275"/>
      <c r="H28" s="275"/>
      <c r="I28" s="275"/>
      <c r="J28" s="275"/>
      <c r="K28" s="276"/>
      <c r="L28" s="277"/>
      <c r="M28" s="278"/>
      <c r="N28" s="278"/>
      <c r="O28" s="278"/>
      <c r="P28" s="278"/>
      <c r="Q28" s="279"/>
      <c r="R28" s="277"/>
      <c r="S28" s="278"/>
      <c r="T28" s="278"/>
      <c r="U28" s="279"/>
      <c r="V28" s="277"/>
      <c r="W28" s="278"/>
      <c r="X28" s="278"/>
      <c r="Y28" s="279"/>
      <c r="Z28" s="277"/>
      <c r="AA28" s="278"/>
      <c r="AB28" s="278"/>
      <c r="AC28" s="278"/>
      <c r="AD28" s="279"/>
      <c r="AE28" s="277"/>
      <c r="AF28" s="278"/>
      <c r="AG28" s="278"/>
      <c r="AH28" s="278"/>
      <c r="AI28" s="279"/>
      <c r="AJ28" s="277"/>
      <c r="AK28" s="278"/>
      <c r="AL28" s="278"/>
      <c r="AM28" s="278"/>
      <c r="AN28" s="279"/>
      <c r="AO28" s="277"/>
      <c r="AP28" s="278"/>
      <c r="AQ28" s="279"/>
      <c r="AR28" s="280">
        <f t="shared" si="0"/>
        <v>0</v>
      </c>
      <c r="AS28" s="394">
        <f>ROUND((AR28+AR29)/2,0)</f>
        <v>0</v>
      </c>
    </row>
    <row r="29" spans="1:45" ht="17.25" customHeight="1">
      <c r="A29" s="392"/>
      <c r="B29" s="393"/>
      <c r="C29" s="281">
        <v>2</v>
      </c>
      <c r="D29" s="282"/>
      <c r="E29" s="283"/>
      <c r="F29" s="283"/>
      <c r="G29" s="283"/>
      <c r="H29" s="283"/>
      <c r="I29" s="283"/>
      <c r="J29" s="283"/>
      <c r="K29" s="284"/>
      <c r="L29" s="285"/>
      <c r="M29" s="286"/>
      <c r="N29" s="286"/>
      <c r="O29" s="286"/>
      <c r="P29" s="286"/>
      <c r="Q29" s="287"/>
      <c r="R29" s="285"/>
      <c r="S29" s="286"/>
      <c r="T29" s="286"/>
      <c r="U29" s="287"/>
      <c r="V29" s="285"/>
      <c r="W29" s="286"/>
      <c r="X29" s="286"/>
      <c r="Y29" s="287"/>
      <c r="Z29" s="285"/>
      <c r="AA29" s="286"/>
      <c r="AB29" s="286"/>
      <c r="AC29" s="286"/>
      <c r="AD29" s="287"/>
      <c r="AE29" s="285"/>
      <c r="AF29" s="286"/>
      <c r="AG29" s="286"/>
      <c r="AH29" s="286"/>
      <c r="AI29" s="287"/>
      <c r="AJ29" s="285"/>
      <c r="AK29" s="286"/>
      <c r="AL29" s="286"/>
      <c r="AM29" s="286"/>
      <c r="AN29" s="287"/>
      <c r="AO29" s="285"/>
      <c r="AP29" s="286"/>
      <c r="AQ29" s="287"/>
      <c r="AR29" s="288">
        <f t="shared" si="0"/>
        <v>0</v>
      </c>
      <c r="AS29" s="395"/>
    </row>
    <row r="30" spans="1:45" ht="17.25" customHeight="1">
      <c r="A30" s="392">
        <v>12</v>
      </c>
      <c r="B30" s="393" t="str">
        <f>'A-RACHNATMAK'!B22</f>
        <v>પરમાર અજયકુમાર રમેશભાઇ</v>
      </c>
      <c r="C30" s="273">
        <v>1</v>
      </c>
      <c r="D30" s="274"/>
      <c r="E30" s="275"/>
      <c r="F30" s="275"/>
      <c r="G30" s="275"/>
      <c r="H30" s="275"/>
      <c r="I30" s="275"/>
      <c r="J30" s="275"/>
      <c r="K30" s="276"/>
      <c r="L30" s="277"/>
      <c r="M30" s="278"/>
      <c r="N30" s="278"/>
      <c r="O30" s="278"/>
      <c r="P30" s="278"/>
      <c r="Q30" s="279"/>
      <c r="R30" s="277"/>
      <c r="S30" s="278"/>
      <c r="T30" s="278"/>
      <c r="U30" s="279"/>
      <c r="V30" s="277"/>
      <c r="W30" s="278"/>
      <c r="X30" s="278"/>
      <c r="Y30" s="279"/>
      <c r="Z30" s="277"/>
      <c r="AA30" s="278"/>
      <c r="AB30" s="278"/>
      <c r="AC30" s="278"/>
      <c r="AD30" s="279"/>
      <c r="AE30" s="277"/>
      <c r="AF30" s="278"/>
      <c r="AG30" s="278"/>
      <c r="AH30" s="278"/>
      <c r="AI30" s="279"/>
      <c r="AJ30" s="277"/>
      <c r="AK30" s="278"/>
      <c r="AL30" s="278"/>
      <c r="AM30" s="278"/>
      <c r="AN30" s="279"/>
      <c r="AO30" s="277"/>
      <c r="AP30" s="278"/>
      <c r="AQ30" s="279"/>
      <c r="AR30" s="280">
        <f t="shared" si="0"/>
        <v>0</v>
      </c>
      <c r="AS30" s="394">
        <f>ROUND((AR30+AR31)/2,0)</f>
        <v>0</v>
      </c>
    </row>
    <row r="31" spans="1:45" ht="17.25" customHeight="1">
      <c r="A31" s="392"/>
      <c r="B31" s="393"/>
      <c r="C31" s="281">
        <v>2</v>
      </c>
      <c r="D31" s="282"/>
      <c r="E31" s="283"/>
      <c r="F31" s="283"/>
      <c r="G31" s="283"/>
      <c r="H31" s="283"/>
      <c r="I31" s="283"/>
      <c r="J31" s="283"/>
      <c r="K31" s="284"/>
      <c r="L31" s="285"/>
      <c r="M31" s="286"/>
      <c r="N31" s="286"/>
      <c r="O31" s="286"/>
      <c r="P31" s="286"/>
      <c r="Q31" s="287"/>
      <c r="R31" s="285"/>
      <c r="S31" s="286"/>
      <c r="T31" s="286"/>
      <c r="U31" s="287"/>
      <c r="V31" s="285"/>
      <c r="W31" s="286"/>
      <c r="X31" s="286"/>
      <c r="Y31" s="287"/>
      <c r="Z31" s="285"/>
      <c r="AA31" s="286"/>
      <c r="AB31" s="286"/>
      <c r="AC31" s="286"/>
      <c r="AD31" s="287"/>
      <c r="AE31" s="285"/>
      <c r="AF31" s="286"/>
      <c r="AG31" s="286"/>
      <c r="AH31" s="286"/>
      <c r="AI31" s="287"/>
      <c r="AJ31" s="285"/>
      <c r="AK31" s="286"/>
      <c r="AL31" s="286"/>
      <c r="AM31" s="286"/>
      <c r="AN31" s="287"/>
      <c r="AO31" s="285"/>
      <c r="AP31" s="286"/>
      <c r="AQ31" s="287"/>
      <c r="AR31" s="288">
        <f t="shared" si="0"/>
        <v>0</v>
      </c>
      <c r="AS31" s="395"/>
    </row>
    <row r="32" spans="1:45" ht="17.25" customHeight="1">
      <c r="A32" s="392">
        <v>13</v>
      </c>
      <c r="B32" s="393" t="str">
        <f>'A-RACHNATMAK'!B23</f>
        <v>કંડોળીયા અલ્પેશકુમાર ભરતભાઇ</v>
      </c>
      <c r="C32" s="273">
        <v>1</v>
      </c>
      <c r="D32" s="274"/>
      <c r="E32" s="275"/>
      <c r="F32" s="275"/>
      <c r="G32" s="275"/>
      <c r="H32" s="275"/>
      <c r="I32" s="275"/>
      <c r="J32" s="275"/>
      <c r="K32" s="276"/>
      <c r="L32" s="277"/>
      <c r="M32" s="278"/>
      <c r="N32" s="278"/>
      <c r="O32" s="278"/>
      <c r="P32" s="278"/>
      <c r="Q32" s="279"/>
      <c r="R32" s="277"/>
      <c r="S32" s="278"/>
      <c r="T32" s="278"/>
      <c r="U32" s="279"/>
      <c r="V32" s="277"/>
      <c r="W32" s="278"/>
      <c r="X32" s="278"/>
      <c r="Y32" s="279"/>
      <c r="Z32" s="277"/>
      <c r="AA32" s="278"/>
      <c r="AB32" s="278"/>
      <c r="AC32" s="278"/>
      <c r="AD32" s="279"/>
      <c r="AE32" s="277"/>
      <c r="AF32" s="278"/>
      <c r="AG32" s="278"/>
      <c r="AH32" s="278"/>
      <c r="AI32" s="279"/>
      <c r="AJ32" s="277"/>
      <c r="AK32" s="278"/>
      <c r="AL32" s="278"/>
      <c r="AM32" s="278"/>
      <c r="AN32" s="279"/>
      <c r="AO32" s="277"/>
      <c r="AP32" s="278"/>
      <c r="AQ32" s="279"/>
      <c r="AR32" s="280">
        <f t="shared" si="0"/>
        <v>0</v>
      </c>
      <c r="AS32" s="394">
        <f>ROUND((AR32+AR33)/2,0)</f>
        <v>0</v>
      </c>
    </row>
    <row r="33" spans="1:46" ht="17.25" customHeight="1">
      <c r="A33" s="392"/>
      <c r="B33" s="393"/>
      <c r="C33" s="281">
        <v>2</v>
      </c>
      <c r="D33" s="282"/>
      <c r="E33" s="283"/>
      <c r="F33" s="283"/>
      <c r="G33" s="283"/>
      <c r="H33" s="283"/>
      <c r="I33" s="283"/>
      <c r="J33" s="283"/>
      <c r="K33" s="284"/>
      <c r="L33" s="285"/>
      <c r="M33" s="286"/>
      <c r="N33" s="286"/>
      <c r="O33" s="286"/>
      <c r="P33" s="286"/>
      <c r="Q33" s="287"/>
      <c r="R33" s="285"/>
      <c r="S33" s="286"/>
      <c r="T33" s="286"/>
      <c r="U33" s="287"/>
      <c r="V33" s="285"/>
      <c r="W33" s="286"/>
      <c r="X33" s="286"/>
      <c r="Y33" s="287"/>
      <c r="Z33" s="285"/>
      <c r="AA33" s="286"/>
      <c r="AB33" s="286"/>
      <c r="AC33" s="286"/>
      <c r="AD33" s="287"/>
      <c r="AE33" s="285"/>
      <c r="AF33" s="286"/>
      <c r="AG33" s="286"/>
      <c r="AH33" s="286"/>
      <c r="AI33" s="287"/>
      <c r="AJ33" s="285"/>
      <c r="AK33" s="286"/>
      <c r="AL33" s="286"/>
      <c r="AM33" s="286"/>
      <c r="AN33" s="287"/>
      <c r="AO33" s="285"/>
      <c r="AP33" s="286"/>
      <c r="AQ33" s="287"/>
      <c r="AR33" s="288">
        <f t="shared" si="0"/>
        <v>0</v>
      </c>
      <c r="AS33" s="395"/>
    </row>
    <row r="34" spans="1:46" ht="17.25" customHeight="1">
      <c r="A34" s="392">
        <v>14</v>
      </c>
      <c r="B34" s="393" t="str">
        <f>'A-RACHNATMAK'!B24</f>
        <v>મકવાણા તરંગકુમાર કિશોરભાઇ</v>
      </c>
      <c r="C34" s="273">
        <v>1</v>
      </c>
      <c r="D34" s="274"/>
      <c r="E34" s="275"/>
      <c r="F34" s="275"/>
      <c r="G34" s="275"/>
      <c r="H34" s="275"/>
      <c r="I34" s="275"/>
      <c r="J34" s="275"/>
      <c r="K34" s="276"/>
      <c r="L34" s="277"/>
      <c r="M34" s="278"/>
      <c r="N34" s="278"/>
      <c r="O34" s="278"/>
      <c r="P34" s="278"/>
      <c r="Q34" s="279"/>
      <c r="R34" s="277"/>
      <c r="S34" s="278"/>
      <c r="T34" s="278"/>
      <c r="U34" s="279"/>
      <c r="V34" s="277"/>
      <c r="W34" s="278"/>
      <c r="X34" s="278"/>
      <c r="Y34" s="279"/>
      <c r="Z34" s="277"/>
      <c r="AA34" s="278"/>
      <c r="AB34" s="278"/>
      <c r="AC34" s="278"/>
      <c r="AD34" s="279"/>
      <c r="AE34" s="277"/>
      <c r="AF34" s="278"/>
      <c r="AG34" s="278"/>
      <c r="AH34" s="278"/>
      <c r="AI34" s="279"/>
      <c r="AJ34" s="277"/>
      <c r="AK34" s="278"/>
      <c r="AL34" s="278"/>
      <c r="AM34" s="278"/>
      <c r="AN34" s="279"/>
      <c r="AO34" s="277"/>
      <c r="AP34" s="278"/>
      <c r="AQ34" s="279"/>
      <c r="AR34" s="280">
        <f t="shared" si="0"/>
        <v>0</v>
      </c>
      <c r="AS34" s="394">
        <f>ROUND((AR34+AR35)/2,0)</f>
        <v>0</v>
      </c>
    </row>
    <row r="35" spans="1:46" ht="17.25" customHeight="1">
      <c r="A35" s="392"/>
      <c r="B35" s="393"/>
      <c r="C35" s="281">
        <v>2</v>
      </c>
      <c r="D35" s="282"/>
      <c r="E35" s="283"/>
      <c r="F35" s="283"/>
      <c r="G35" s="283"/>
      <c r="H35" s="283"/>
      <c r="I35" s="283"/>
      <c r="J35" s="283"/>
      <c r="K35" s="284"/>
      <c r="L35" s="285"/>
      <c r="M35" s="286"/>
      <c r="N35" s="286"/>
      <c r="O35" s="286"/>
      <c r="P35" s="286"/>
      <c r="Q35" s="287"/>
      <c r="R35" s="285"/>
      <c r="S35" s="286"/>
      <c r="T35" s="286"/>
      <c r="U35" s="287"/>
      <c r="V35" s="285"/>
      <c r="W35" s="286"/>
      <c r="X35" s="286"/>
      <c r="Y35" s="287"/>
      <c r="Z35" s="285"/>
      <c r="AA35" s="286"/>
      <c r="AB35" s="286"/>
      <c r="AC35" s="286"/>
      <c r="AD35" s="287"/>
      <c r="AE35" s="285"/>
      <c r="AF35" s="286"/>
      <c r="AG35" s="286"/>
      <c r="AH35" s="286"/>
      <c r="AI35" s="287"/>
      <c r="AJ35" s="285"/>
      <c r="AK35" s="286"/>
      <c r="AL35" s="286"/>
      <c r="AM35" s="286"/>
      <c r="AN35" s="287"/>
      <c r="AO35" s="285"/>
      <c r="AP35" s="286"/>
      <c r="AQ35" s="287"/>
      <c r="AR35" s="288">
        <f t="shared" si="0"/>
        <v>0</v>
      </c>
      <c r="AS35" s="395"/>
    </row>
    <row r="36" spans="1:46" ht="17.25" customHeight="1">
      <c r="A36" s="392">
        <v>15</v>
      </c>
      <c r="B36" s="393" t="str">
        <f>'A-RACHNATMAK'!B25</f>
        <v>ઢીમેચા સતીષ હનુભાઇ</v>
      </c>
      <c r="C36" s="273">
        <v>1</v>
      </c>
      <c r="D36" s="274"/>
      <c r="E36" s="275"/>
      <c r="F36" s="275"/>
      <c r="G36" s="275"/>
      <c r="H36" s="275"/>
      <c r="I36" s="275"/>
      <c r="J36" s="275"/>
      <c r="K36" s="276"/>
      <c r="L36" s="277"/>
      <c r="M36" s="278"/>
      <c r="N36" s="278"/>
      <c r="O36" s="278"/>
      <c r="P36" s="278"/>
      <c r="Q36" s="279"/>
      <c r="R36" s="277"/>
      <c r="S36" s="278"/>
      <c r="T36" s="278"/>
      <c r="U36" s="279"/>
      <c r="V36" s="277"/>
      <c r="W36" s="278"/>
      <c r="X36" s="278"/>
      <c r="Y36" s="279"/>
      <c r="Z36" s="277"/>
      <c r="AA36" s="278"/>
      <c r="AB36" s="278"/>
      <c r="AC36" s="278"/>
      <c r="AD36" s="279"/>
      <c r="AE36" s="277"/>
      <c r="AF36" s="278"/>
      <c r="AG36" s="278"/>
      <c r="AH36" s="278"/>
      <c r="AI36" s="279"/>
      <c r="AJ36" s="277"/>
      <c r="AK36" s="278"/>
      <c r="AL36" s="278"/>
      <c r="AM36" s="278"/>
      <c r="AN36" s="279"/>
      <c r="AO36" s="277"/>
      <c r="AP36" s="278"/>
      <c r="AQ36" s="279"/>
      <c r="AR36" s="280">
        <f t="shared" si="0"/>
        <v>0</v>
      </c>
      <c r="AS36" s="394">
        <f>ROUND((AR36+AR37)/2,0)</f>
        <v>0</v>
      </c>
    </row>
    <row r="37" spans="1:46" ht="17.25" customHeight="1">
      <c r="A37" s="392"/>
      <c r="B37" s="393"/>
      <c r="C37" s="281">
        <v>2</v>
      </c>
      <c r="D37" s="282"/>
      <c r="E37" s="283"/>
      <c r="F37" s="283"/>
      <c r="G37" s="283"/>
      <c r="H37" s="283"/>
      <c r="I37" s="283"/>
      <c r="J37" s="283"/>
      <c r="K37" s="284"/>
      <c r="L37" s="285"/>
      <c r="M37" s="286"/>
      <c r="N37" s="286"/>
      <c r="O37" s="286"/>
      <c r="P37" s="286"/>
      <c r="Q37" s="287"/>
      <c r="R37" s="285"/>
      <c r="S37" s="286"/>
      <c r="T37" s="286"/>
      <c r="U37" s="287"/>
      <c r="V37" s="285"/>
      <c r="W37" s="286"/>
      <c r="X37" s="286"/>
      <c r="Y37" s="287"/>
      <c r="Z37" s="285"/>
      <c r="AA37" s="286"/>
      <c r="AB37" s="286"/>
      <c r="AC37" s="286"/>
      <c r="AD37" s="287"/>
      <c r="AE37" s="285"/>
      <c r="AF37" s="286"/>
      <c r="AG37" s="286"/>
      <c r="AH37" s="286"/>
      <c r="AI37" s="287"/>
      <c r="AJ37" s="285"/>
      <c r="AK37" s="286"/>
      <c r="AL37" s="286"/>
      <c r="AM37" s="286"/>
      <c r="AN37" s="287"/>
      <c r="AO37" s="285"/>
      <c r="AP37" s="286"/>
      <c r="AQ37" s="287"/>
      <c r="AR37" s="288">
        <f t="shared" si="0"/>
        <v>0</v>
      </c>
      <c r="AS37" s="395"/>
    </row>
    <row r="38" spans="1:46" ht="17.25" customHeight="1">
      <c r="A38" s="392">
        <v>16</v>
      </c>
      <c r="B38" s="393" t="str">
        <f>'A-RACHNATMAK'!B26</f>
        <v>ખુમાણ શિવરાજભાઇ બાબુભાઇ</v>
      </c>
      <c r="C38" s="273">
        <v>1</v>
      </c>
      <c r="D38" s="274"/>
      <c r="E38" s="275"/>
      <c r="F38" s="275"/>
      <c r="G38" s="275"/>
      <c r="H38" s="275"/>
      <c r="I38" s="275"/>
      <c r="J38" s="275"/>
      <c r="K38" s="276"/>
      <c r="L38" s="277"/>
      <c r="M38" s="278"/>
      <c r="N38" s="278"/>
      <c r="O38" s="278"/>
      <c r="P38" s="278"/>
      <c r="Q38" s="279"/>
      <c r="R38" s="277"/>
      <c r="S38" s="278"/>
      <c r="T38" s="278"/>
      <c r="U38" s="279"/>
      <c r="V38" s="277"/>
      <c r="W38" s="278"/>
      <c r="X38" s="278"/>
      <c r="Y38" s="279"/>
      <c r="Z38" s="277"/>
      <c r="AA38" s="278"/>
      <c r="AB38" s="278"/>
      <c r="AC38" s="278"/>
      <c r="AD38" s="279"/>
      <c r="AE38" s="277"/>
      <c r="AF38" s="278"/>
      <c r="AG38" s="278"/>
      <c r="AH38" s="278"/>
      <c r="AI38" s="279"/>
      <c r="AJ38" s="277"/>
      <c r="AK38" s="278"/>
      <c r="AL38" s="278"/>
      <c r="AM38" s="278"/>
      <c r="AN38" s="279"/>
      <c r="AO38" s="277"/>
      <c r="AP38" s="278"/>
      <c r="AQ38" s="279"/>
      <c r="AR38" s="280">
        <f t="shared" si="0"/>
        <v>0</v>
      </c>
      <c r="AS38" s="394">
        <f>ROUND((AR38+AR39)/2,0)</f>
        <v>0</v>
      </c>
    </row>
    <row r="39" spans="1:46" ht="17.25" customHeight="1">
      <c r="A39" s="392"/>
      <c r="B39" s="393"/>
      <c r="C39" s="281">
        <v>2</v>
      </c>
      <c r="D39" s="282"/>
      <c r="E39" s="283"/>
      <c r="F39" s="283"/>
      <c r="G39" s="283"/>
      <c r="H39" s="283"/>
      <c r="I39" s="283"/>
      <c r="J39" s="283"/>
      <c r="K39" s="284"/>
      <c r="L39" s="285"/>
      <c r="M39" s="286"/>
      <c r="N39" s="286"/>
      <c r="O39" s="286"/>
      <c r="P39" s="286"/>
      <c r="Q39" s="287"/>
      <c r="R39" s="285"/>
      <c r="S39" s="286"/>
      <c r="T39" s="286"/>
      <c r="U39" s="287"/>
      <c r="V39" s="285"/>
      <c r="W39" s="286"/>
      <c r="X39" s="286"/>
      <c r="Y39" s="287"/>
      <c r="Z39" s="285"/>
      <c r="AA39" s="286"/>
      <c r="AB39" s="286"/>
      <c r="AC39" s="286"/>
      <c r="AD39" s="287"/>
      <c r="AE39" s="285"/>
      <c r="AF39" s="286"/>
      <c r="AG39" s="286"/>
      <c r="AH39" s="286"/>
      <c r="AI39" s="287"/>
      <c r="AJ39" s="285"/>
      <c r="AK39" s="286"/>
      <c r="AL39" s="286"/>
      <c r="AM39" s="286"/>
      <c r="AN39" s="287"/>
      <c r="AO39" s="285"/>
      <c r="AP39" s="286"/>
      <c r="AQ39" s="287"/>
      <c r="AR39" s="288">
        <f t="shared" si="0"/>
        <v>0</v>
      </c>
      <c r="AS39" s="395"/>
    </row>
    <row r="40" spans="1:46" ht="17.25" customHeight="1">
      <c r="A40" s="392">
        <v>17</v>
      </c>
      <c r="B40" s="393" t="str">
        <f>'A-RACHNATMAK'!B27</f>
        <v>માથાસુરીયા દિનેશભાઇ અમરાભાઇ</v>
      </c>
      <c r="C40" s="273">
        <v>1</v>
      </c>
      <c r="D40" s="274"/>
      <c r="E40" s="275"/>
      <c r="F40" s="275"/>
      <c r="G40" s="275"/>
      <c r="H40" s="275"/>
      <c r="I40" s="275"/>
      <c r="J40" s="275"/>
      <c r="K40" s="276"/>
      <c r="L40" s="277"/>
      <c r="M40" s="278"/>
      <c r="N40" s="278"/>
      <c r="O40" s="278"/>
      <c r="P40" s="278"/>
      <c r="Q40" s="279"/>
      <c r="R40" s="277"/>
      <c r="S40" s="278"/>
      <c r="T40" s="278"/>
      <c r="U40" s="279"/>
      <c r="V40" s="277"/>
      <c r="W40" s="278"/>
      <c r="X40" s="278"/>
      <c r="Y40" s="279"/>
      <c r="Z40" s="277"/>
      <c r="AA40" s="278"/>
      <c r="AB40" s="278"/>
      <c r="AC40" s="278"/>
      <c r="AD40" s="279"/>
      <c r="AE40" s="277"/>
      <c r="AF40" s="278"/>
      <c r="AG40" s="278"/>
      <c r="AH40" s="278"/>
      <c r="AI40" s="279"/>
      <c r="AJ40" s="277"/>
      <c r="AK40" s="278"/>
      <c r="AL40" s="278"/>
      <c r="AM40" s="278"/>
      <c r="AN40" s="279"/>
      <c r="AO40" s="277"/>
      <c r="AP40" s="278"/>
      <c r="AQ40" s="279"/>
      <c r="AR40" s="280">
        <f t="shared" si="0"/>
        <v>0</v>
      </c>
      <c r="AS40" s="394">
        <f>ROUND((AR40+AR41)/2,0)</f>
        <v>0</v>
      </c>
    </row>
    <row r="41" spans="1:46" ht="17.25" customHeight="1">
      <c r="A41" s="392"/>
      <c r="B41" s="393"/>
      <c r="C41" s="281">
        <v>2</v>
      </c>
      <c r="D41" s="282"/>
      <c r="E41" s="283"/>
      <c r="F41" s="283"/>
      <c r="G41" s="283"/>
      <c r="H41" s="283"/>
      <c r="I41" s="283"/>
      <c r="J41" s="283"/>
      <c r="K41" s="284"/>
      <c r="L41" s="285"/>
      <c r="M41" s="286"/>
      <c r="N41" s="286"/>
      <c r="O41" s="286"/>
      <c r="P41" s="286"/>
      <c r="Q41" s="287"/>
      <c r="R41" s="285"/>
      <c r="S41" s="286"/>
      <c r="T41" s="286"/>
      <c r="U41" s="287"/>
      <c r="V41" s="285"/>
      <c r="W41" s="286"/>
      <c r="X41" s="286"/>
      <c r="Y41" s="287"/>
      <c r="Z41" s="285"/>
      <c r="AA41" s="286"/>
      <c r="AB41" s="286"/>
      <c r="AC41" s="286"/>
      <c r="AD41" s="287"/>
      <c r="AE41" s="285"/>
      <c r="AF41" s="286"/>
      <c r="AG41" s="286"/>
      <c r="AH41" s="286"/>
      <c r="AI41" s="287"/>
      <c r="AJ41" s="285"/>
      <c r="AK41" s="286"/>
      <c r="AL41" s="286"/>
      <c r="AM41" s="286"/>
      <c r="AN41" s="287"/>
      <c r="AO41" s="285"/>
      <c r="AP41" s="286"/>
      <c r="AQ41" s="287"/>
      <c r="AR41" s="288">
        <f t="shared" si="0"/>
        <v>0</v>
      </c>
      <c r="AS41" s="395"/>
    </row>
    <row r="42" spans="1:46" ht="17.25" customHeight="1">
      <c r="A42" s="392">
        <v>18</v>
      </c>
      <c r="B42" s="393" t="str">
        <f>'A-RACHNATMAK'!B28</f>
        <v>વાઘેલા હરેશ જીલુભાઇ</v>
      </c>
      <c r="C42" s="273">
        <v>1</v>
      </c>
      <c r="D42" s="274"/>
      <c r="E42" s="275"/>
      <c r="F42" s="275"/>
      <c r="G42" s="275"/>
      <c r="H42" s="275"/>
      <c r="I42" s="275"/>
      <c r="J42" s="275"/>
      <c r="K42" s="276"/>
      <c r="L42" s="277"/>
      <c r="M42" s="278"/>
      <c r="N42" s="278"/>
      <c r="O42" s="278"/>
      <c r="P42" s="278"/>
      <c r="Q42" s="279"/>
      <c r="R42" s="277"/>
      <c r="S42" s="278"/>
      <c r="T42" s="278"/>
      <c r="U42" s="279"/>
      <c r="V42" s="277"/>
      <c r="W42" s="278"/>
      <c r="X42" s="278"/>
      <c r="Y42" s="279"/>
      <c r="Z42" s="277"/>
      <c r="AA42" s="278"/>
      <c r="AB42" s="278"/>
      <c r="AC42" s="278"/>
      <c r="AD42" s="279"/>
      <c r="AE42" s="277"/>
      <c r="AF42" s="278"/>
      <c r="AG42" s="278"/>
      <c r="AH42" s="278"/>
      <c r="AI42" s="279"/>
      <c r="AJ42" s="277"/>
      <c r="AK42" s="278"/>
      <c r="AL42" s="278"/>
      <c r="AM42" s="278"/>
      <c r="AN42" s="279"/>
      <c r="AO42" s="277"/>
      <c r="AP42" s="278"/>
      <c r="AQ42" s="279"/>
      <c r="AR42" s="280">
        <f t="shared" si="0"/>
        <v>0</v>
      </c>
      <c r="AS42" s="394">
        <f>ROUND((AR42+AR43)/2,0)</f>
        <v>0</v>
      </c>
    </row>
    <row r="43" spans="1:46" ht="17.25" customHeight="1">
      <c r="A43" s="392"/>
      <c r="B43" s="396"/>
      <c r="C43" s="281">
        <v>2</v>
      </c>
      <c r="D43" s="282"/>
      <c r="E43" s="283"/>
      <c r="F43" s="283"/>
      <c r="G43" s="283"/>
      <c r="H43" s="283"/>
      <c r="I43" s="283"/>
      <c r="J43" s="283"/>
      <c r="K43" s="284"/>
      <c r="L43" s="285"/>
      <c r="M43" s="286"/>
      <c r="N43" s="286"/>
      <c r="O43" s="286"/>
      <c r="P43" s="286"/>
      <c r="Q43" s="287"/>
      <c r="R43" s="285"/>
      <c r="S43" s="286"/>
      <c r="T43" s="286"/>
      <c r="U43" s="287"/>
      <c r="V43" s="285"/>
      <c r="W43" s="286"/>
      <c r="X43" s="286"/>
      <c r="Y43" s="287"/>
      <c r="Z43" s="285"/>
      <c r="AA43" s="286"/>
      <c r="AB43" s="286"/>
      <c r="AC43" s="286"/>
      <c r="AD43" s="287"/>
      <c r="AE43" s="285"/>
      <c r="AF43" s="286"/>
      <c r="AG43" s="286"/>
      <c r="AH43" s="286"/>
      <c r="AI43" s="287"/>
      <c r="AJ43" s="285"/>
      <c r="AK43" s="286"/>
      <c r="AL43" s="286"/>
      <c r="AM43" s="286"/>
      <c r="AN43" s="287"/>
      <c r="AO43" s="285"/>
      <c r="AP43" s="286"/>
      <c r="AQ43" s="287"/>
      <c r="AR43" s="288">
        <f t="shared" si="0"/>
        <v>0</v>
      </c>
      <c r="AS43" s="395"/>
    </row>
    <row r="45" spans="1:46" ht="18">
      <c r="A45" s="256" t="s">
        <v>178</v>
      </c>
      <c r="B45" s="375" t="s">
        <v>122</v>
      </c>
      <c r="C45" s="375"/>
      <c r="D45" s="375"/>
      <c r="E45" s="375"/>
      <c r="F45" s="375"/>
      <c r="G45" s="375"/>
      <c r="H45" s="375"/>
      <c r="I45" s="375"/>
      <c r="J45" s="375"/>
      <c r="K45" s="375"/>
      <c r="L45" s="375"/>
      <c r="M45" s="375"/>
      <c r="N45" s="375"/>
      <c r="O45" s="375"/>
      <c r="P45" s="375"/>
      <c r="Q45" s="375"/>
      <c r="R45" s="375"/>
      <c r="S45" s="375"/>
      <c r="T45" s="375"/>
      <c r="U45" s="375"/>
      <c r="V45" s="401" t="s">
        <v>122</v>
      </c>
      <c r="W45" s="401"/>
      <c r="X45" s="401"/>
      <c r="Y45" s="401"/>
      <c r="Z45" s="401"/>
      <c r="AA45" s="401"/>
      <c r="AB45" s="401"/>
      <c r="AC45" s="401"/>
      <c r="AD45" s="401"/>
      <c r="AE45" s="401"/>
      <c r="AF45" s="401"/>
      <c r="AG45" s="401"/>
      <c r="AH45" s="401"/>
      <c r="AI45" s="401"/>
      <c r="AJ45" s="401"/>
      <c r="AK45" s="401"/>
      <c r="AL45" s="401"/>
      <c r="AM45" s="401"/>
      <c r="AN45" s="401"/>
      <c r="AO45" s="401"/>
      <c r="AP45" s="401"/>
      <c r="AQ45" s="401"/>
      <c r="AR45" s="401"/>
      <c r="AS45" s="401"/>
    </row>
    <row r="46" spans="1:46" ht="22.5" customHeight="1">
      <c r="A46" s="289"/>
      <c r="B46" s="401" t="str">
        <f>B2</f>
        <v>વ્યક્તિત્વ વિકાસ</v>
      </c>
      <c r="C46" s="401"/>
      <c r="D46" s="401"/>
      <c r="E46" s="401"/>
      <c r="F46" s="401"/>
      <c r="G46" s="401"/>
      <c r="H46" s="401"/>
      <c r="I46" s="401"/>
      <c r="J46" s="401"/>
      <c r="K46" s="401"/>
      <c r="L46" s="401"/>
      <c r="M46" s="401"/>
      <c r="N46" s="401"/>
      <c r="O46" s="401"/>
      <c r="P46" s="401"/>
      <c r="Q46" s="401"/>
      <c r="R46" s="401"/>
      <c r="S46" s="401"/>
      <c r="T46" s="401"/>
      <c r="U46" s="401"/>
      <c r="V46" s="401" t="str">
        <f>B2</f>
        <v>વ્યક્તિત્વ વિકાસ</v>
      </c>
      <c r="W46" s="401"/>
      <c r="X46" s="401"/>
      <c r="Y46" s="401"/>
      <c r="Z46" s="401"/>
      <c r="AA46" s="401"/>
      <c r="AB46" s="401"/>
      <c r="AC46" s="401"/>
      <c r="AD46" s="401"/>
      <c r="AE46" s="401"/>
      <c r="AF46" s="401"/>
      <c r="AG46" s="401"/>
      <c r="AH46" s="401"/>
      <c r="AI46" s="401"/>
      <c r="AJ46" s="401"/>
      <c r="AK46" s="401"/>
      <c r="AL46" s="401"/>
      <c r="AM46" s="401"/>
      <c r="AN46" s="401"/>
      <c r="AO46" s="401"/>
      <c r="AP46" s="401"/>
      <c r="AQ46" s="401"/>
      <c r="AR46" s="401"/>
      <c r="AS46" s="401"/>
      <c r="AT46" s="196"/>
    </row>
    <row r="47" spans="1:46" ht="15">
      <c r="B47" s="259" t="s">
        <v>173</v>
      </c>
      <c r="C47" s="260">
        <f>C3</f>
        <v>6</v>
      </c>
      <c r="D47" s="261"/>
      <c r="E47" s="261"/>
      <c r="F47" s="399" t="s">
        <v>174</v>
      </c>
      <c r="G47" s="399"/>
      <c r="H47" s="398" t="str">
        <f>H3</f>
        <v xml:space="preserve"> ---</v>
      </c>
      <c r="I47" s="398"/>
      <c r="J47" s="261"/>
      <c r="K47" s="261"/>
      <c r="L47" s="261"/>
      <c r="M47" s="261"/>
      <c r="N47" s="399" t="s">
        <v>175</v>
      </c>
      <c r="O47" s="399"/>
      <c r="P47" s="398" t="str">
        <f>P3</f>
        <v>2012-13</v>
      </c>
      <c r="Q47" s="398"/>
      <c r="R47" s="398"/>
      <c r="S47" s="398"/>
      <c r="T47" s="261"/>
      <c r="U47" s="261"/>
      <c r="V47" s="400" t="s">
        <v>173</v>
      </c>
      <c r="W47" s="400"/>
      <c r="X47" s="400"/>
      <c r="Y47" s="400"/>
      <c r="Z47" s="398">
        <f>C47</f>
        <v>6</v>
      </c>
      <c r="AA47" s="398"/>
      <c r="AD47" s="399" t="s">
        <v>174</v>
      </c>
      <c r="AE47" s="399"/>
      <c r="AF47" s="398" t="str">
        <f>H47</f>
        <v xml:space="preserve"> ---</v>
      </c>
      <c r="AG47" s="398"/>
      <c r="AJ47" s="399" t="s">
        <v>175</v>
      </c>
      <c r="AK47" s="399"/>
      <c r="AL47" s="398" t="str">
        <f>P47</f>
        <v>2012-13</v>
      </c>
      <c r="AM47" s="398"/>
      <c r="AN47" s="398"/>
      <c r="AO47" s="398"/>
      <c r="AP47" s="262"/>
      <c r="AQ47" s="262"/>
      <c r="AR47" s="262"/>
      <c r="AS47" s="262"/>
    </row>
    <row r="48" spans="1:46" ht="15">
      <c r="B48" s="259"/>
      <c r="C48" s="261"/>
      <c r="D48" s="261"/>
      <c r="E48" s="261"/>
      <c r="F48" s="263"/>
      <c r="G48" s="263"/>
      <c r="H48" s="263"/>
      <c r="I48" s="263"/>
      <c r="J48" s="261"/>
      <c r="K48" s="261"/>
      <c r="L48" s="261"/>
      <c r="M48" s="261"/>
      <c r="N48" s="263"/>
      <c r="O48" s="263"/>
      <c r="P48" s="263"/>
      <c r="Q48" s="263"/>
      <c r="R48" s="263"/>
      <c r="S48" s="263"/>
      <c r="T48" s="261"/>
      <c r="U48" s="261"/>
      <c r="V48" s="264"/>
      <c r="W48" s="264"/>
      <c r="X48" s="264"/>
      <c r="Y48" s="264"/>
      <c r="Z48" s="263"/>
      <c r="AA48" s="263"/>
      <c r="AD48" s="263"/>
      <c r="AE48" s="263"/>
      <c r="AF48" s="263"/>
      <c r="AG48" s="263"/>
      <c r="AJ48" s="263"/>
      <c r="AK48" s="263"/>
      <c r="AL48" s="263"/>
      <c r="AM48" s="263"/>
      <c r="AN48" s="263"/>
      <c r="AO48" s="263"/>
      <c r="AP48" s="262"/>
      <c r="AQ48" s="262"/>
      <c r="AR48" s="262"/>
      <c r="AS48" s="262"/>
    </row>
    <row r="49" spans="1:45" ht="18" customHeight="1">
      <c r="B49" s="402" t="s">
        <v>86</v>
      </c>
      <c r="C49" s="405" t="s">
        <v>109</v>
      </c>
      <c r="D49" s="408" t="s">
        <v>110</v>
      </c>
      <c r="E49" s="409"/>
      <c r="F49" s="409"/>
      <c r="G49" s="409"/>
      <c r="H49" s="409"/>
      <c r="I49" s="409"/>
      <c r="J49" s="409"/>
      <c r="K49" s="410"/>
      <c r="L49" s="408" t="s">
        <v>112</v>
      </c>
      <c r="M49" s="409"/>
      <c r="N49" s="409"/>
      <c r="O49" s="409"/>
      <c r="P49" s="409"/>
      <c r="Q49" s="410"/>
      <c r="R49" s="408" t="s">
        <v>118</v>
      </c>
      <c r="S49" s="409"/>
      <c r="T49" s="409"/>
      <c r="U49" s="409"/>
      <c r="V49" s="409"/>
      <c r="W49" s="409"/>
      <c r="X49" s="409"/>
      <c r="Y49" s="409"/>
      <c r="Z49" s="409"/>
      <c r="AA49" s="409"/>
      <c r="AB49" s="409"/>
      <c r="AC49" s="409"/>
      <c r="AD49" s="409"/>
      <c r="AE49" s="409"/>
      <c r="AF49" s="409"/>
      <c r="AG49" s="409"/>
      <c r="AH49" s="409"/>
      <c r="AI49" s="410"/>
      <c r="AJ49" s="408" t="s">
        <v>120</v>
      </c>
      <c r="AK49" s="409"/>
      <c r="AL49" s="409"/>
      <c r="AM49" s="409"/>
      <c r="AN49" s="409"/>
      <c r="AO49" s="409"/>
      <c r="AP49" s="409"/>
      <c r="AQ49" s="410"/>
      <c r="AR49" s="408" t="s">
        <v>121</v>
      </c>
      <c r="AS49" s="410"/>
    </row>
    <row r="50" spans="1:45" ht="30.75" customHeight="1">
      <c r="B50" s="403"/>
      <c r="C50" s="406"/>
      <c r="D50" s="411" t="s">
        <v>111</v>
      </c>
      <c r="E50" s="412"/>
      <c r="F50" s="412"/>
      <c r="G50" s="412"/>
      <c r="H50" s="412"/>
      <c r="I50" s="412"/>
      <c r="J50" s="412"/>
      <c r="K50" s="413"/>
      <c r="L50" s="411" t="s">
        <v>113</v>
      </c>
      <c r="M50" s="412"/>
      <c r="N50" s="412"/>
      <c r="O50" s="412"/>
      <c r="P50" s="412"/>
      <c r="Q50" s="413"/>
      <c r="R50" s="411" t="s">
        <v>114</v>
      </c>
      <c r="S50" s="412"/>
      <c r="T50" s="412"/>
      <c r="U50" s="413"/>
      <c r="V50" s="411" t="s">
        <v>115</v>
      </c>
      <c r="W50" s="412"/>
      <c r="X50" s="412"/>
      <c r="Y50" s="413"/>
      <c r="Z50" s="411" t="s">
        <v>116</v>
      </c>
      <c r="AA50" s="412"/>
      <c r="AB50" s="412"/>
      <c r="AC50" s="412"/>
      <c r="AD50" s="413"/>
      <c r="AE50" s="411" t="s">
        <v>117</v>
      </c>
      <c r="AF50" s="412"/>
      <c r="AG50" s="412"/>
      <c r="AH50" s="412"/>
      <c r="AI50" s="413"/>
      <c r="AJ50" s="411" t="s">
        <v>119</v>
      </c>
      <c r="AK50" s="412"/>
      <c r="AL50" s="412"/>
      <c r="AM50" s="412"/>
      <c r="AN50" s="413"/>
      <c r="AO50" s="411" t="s">
        <v>64</v>
      </c>
      <c r="AP50" s="412"/>
      <c r="AQ50" s="413"/>
      <c r="AR50" s="414"/>
      <c r="AS50" s="415"/>
    </row>
    <row r="51" spans="1:45" ht="184.5">
      <c r="B51" s="404"/>
      <c r="C51" s="407"/>
      <c r="D51" s="265" t="s">
        <v>123</v>
      </c>
      <c r="E51" s="266" t="s">
        <v>124</v>
      </c>
      <c r="F51" s="267" t="s">
        <v>125</v>
      </c>
      <c r="G51" s="267" t="s">
        <v>126</v>
      </c>
      <c r="H51" s="267" t="s">
        <v>295</v>
      </c>
      <c r="I51" s="267" t="s">
        <v>128</v>
      </c>
      <c r="J51" s="266" t="s">
        <v>129</v>
      </c>
      <c r="K51" s="268" t="s">
        <v>130</v>
      </c>
      <c r="L51" s="265" t="s">
        <v>131</v>
      </c>
      <c r="M51" s="267" t="s">
        <v>132</v>
      </c>
      <c r="N51" s="267" t="s">
        <v>133</v>
      </c>
      <c r="O51" s="267" t="s">
        <v>134</v>
      </c>
      <c r="P51" s="266" t="s">
        <v>135</v>
      </c>
      <c r="Q51" s="269" t="s">
        <v>136</v>
      </c>
      <c r="R51" s="265" t="s">
        <v>137</v>
      </c>
      <c r="S51" s="267" t="s">
        <v>138</v>
      </c>
      <c r="T51" s="267" t="s">
        <v>139</v>
      </c>
      <c r="U51" s="268" t="s">
        <v>140</v>
      </c>
      <c r="V51" s="265" t="s">
        <v>141</v>
      </c>
      <c r="W51" s="267" t="s">
        <v>142</v>
      </c>
      <c r="X51" s="267" t="s">
        <v>143</v>
      </c>
      <c r="Y51" s="268" t="s">
        <v>144</v>
      </c>
      <c r="Z51" s="265" t="s">
        <v>145</v>
      </c>
      <c r="AA51" s="267" t="s">
        <v>146</v>
      </c>
      <c r="AB51" s="267" t="s">
        <v>147</v>
      </c>
      <c r="AC51" s="270" t="s">
        <v>148</v>
      </c>
      <c r="AD51" s="269" t="s">
        <v>149</v>
      </c>
      <c r="AE51" s="265" t="s">
        <v>150</v>
      </c>
      <c r="AF51" s="267" t="s">
        <v>151</v>
      </c>
      <c r="AG51" s="267" t="s">
        <v>152</v>
      </c>
      <c r="AH51" s="270" t="s">
        <v>294</v>
      </c>
      <c r="AI51" s="268" t="s">
        <v>154</v>
      </c>
      <c r="AJ51" s="265" t="s">
        <v>159</v>
      </c>
      <c r="AK51" s="267" t="s">
        <v>155</v>
      </c>
      <c r="AL51" s="267" t="s">
        <v>156</v>
      </c>
      <c r="AM51" s="267" t="s">
        <v>157</v>
      </c>
      <c r="AN51" s="268" t="s">
        <v>158</v>
      </c>
      <c r="AO51" s="265" t="s">
        <v>160</v>
      </c>
      <c r="AP51" s="267" t="s">
        <v>161</v>
      </c>
      <c r="AQ51" s="269" t="s">
        <v>162</v>
      </c>
      <c r="AR51" s="271" t="s">
        <v>164</v>
      </c>
      <c r="AS51" s="272" t="s">
        <v>163</v>
      </c>
    </row>
    <row r="52" spans="1:45" ht="17.25" customHeight="1">
      <c r="A52" s="392">
        <v>19</v>
      </c>
      <c r="B52" s="397" t="str">
        <f>'A-RACHNATMAK'!B29</f>
        <v>પરમાર દિલીપકુમાર મધુભાઇ</v>
      </c>
      <c r="C52" s="273">
        <v>1</v>
      </c>
      <c r="D52" s="274"/>
      <c r="E52" s="275"/>
      <c r="F52" s="275"/>
      <c r="G52" s="275">
        <v>6</v>
      </c>
      <c r="H52" s="275">
        <v>7</v>
      </c>
      <c r="I52" s="275">
        <v>3</v>
      </c>
      <c r="J52" s="275">
        <v>6</v>
      </c>
      <c r="K52" s="276">
        <v>7</v>
      </c>
      <c r="L52" s="277">
        <v>9</v>
      </c>
      <c r="M52" s="278"/>
      <c r="N52" s="278"/>
      <c r="O52" s="278"/>
      <c r="P52" s="278"/>
      <c r="Q52" s="279"/>
      <c r="R52" s="277"/>
      <c r="S52" s="278"/>
      <c r="T52" s="278"/>
      <c r="U52" s="279"/>
      <c r="V52" s="277"/>
      <c r="W52" s="278"/>
      <c r="X52" s="278"/>
      <c r="Y52" s="279"/>
      <c r="Z52" s="277"/>
      <c r="AA52" s="278"/>
      <c r="AB52" s="278"/>
      <c r="AC52" s="278"/>
      <c r="AD52" s="279"/>
      <c r="AE52" s="277"/>
      <c r="AF52" s="278"/>
      <c r="AG52" s="278"/>
      <c r="AH52" s="278"/>
      <c r="AI52" s="279"/>
      <c r="AJ52" s="277"/>
      <c r="AK52" s="278"/>
      <c r="AL52" s="278"/>
      <c r="AM52" s="278"/>
      <c r="AN52" s="279"/>
      <c r="AO52" s="277"/>
      <c r="AP52" s="278"/>
      <c r="AQ52" s="279"/>
      <c r="AR52" s="280">
        <f>SUM(D52:AQ52)</f>
        <v>38</v>
      </c>
      <c r="AS52" s="394">
        <f>ROUND((AR52+AR53)/2,0)</f>
        <v>28</v>
      </c>
    </row>
    <row r="53" spans="1:45" ht="17.25" customHeight="1">
      <c r="A53" s="392"/>
      <c r="B53" s="393"/>
      <c r="C53" s="281">
        <v>2</v>
      </c>
      <c r="D53" s="282"/>
      <c r="E53" s="283"/>
      <c r="F53" s="283"/>
      <c r="G53" s="283"/>
      <c r="H53" s="283"/>
      <c r="I53" s="283">
        <v>4</v>
      </c>
      <c r="J53" s="283">
        <v>6</v>
      </c>
      <c r="K53" s="284">
        <v>7</v>
      </c>
      <c r="L53" s="285"/>
      <c r="M53" s="286"/>
      <c r="N53" s="286"/>
      <c r="O53" s="286"/>
      <c r="P53" s="286"/>
      <c r="Q53" s="287"/>
      <c r="R53" s="285"/>
      <c r="S53" s="286"/>
      <c r="T53" s="286"/>
      <c r="U53" s="287"/>
      <c r="V53" s="285"/>
      <c r="W53" s="286"/>
      <c r="X53" s="286"/>
      <c r="Y53" s="287"/>
      <c r="Z53" s="285"/>
      <c r="AA53" s="286"/>
      <c r="AB53" s="286"/>
      <c r="AC53" s="286"/>
      <c r="AD53" s="287"/>
      <c r="AE53" s="285"/>
      <c r="AF53" s="286"/>
      <c r="AG53" s="286"/>
      <c r="AH53" s="286"/>
      <c r="AI53" s="287"/>
      <c r="AJ53" s="285"/>
      <c r="AK53" s="286"/>
      <c r="AL53" s="286"/>
      <c r="AM53" s="286"/>
      <c r="AN53" s="287"/>
      <c r="AO53" s="285"/>
      <c r="AP53" s="286"/>
      <c r="AQ53" s="287"/>
      <c r="AR53" s="288">
        <f>SUM(D53:AQ53)</f>
        <v>17</v>
      </c>
      <c r="AS53" s="395"/>
    </row>
    <row r="54" spans="1:45" ht="17.25" customHeight="1">
      <c r="A54" s="392">
        <v>20</v>
      </c>
      <c r="B54" s="393" t="str">
        <f>'A-RACHNATMAK'!B30</f>
        <v>વિરપરા કૃણાલ હરેશભાઇ</v>
      </c>
      <c r="C54" s="273">
        <v>1</v>
      </c>
      <c r="D54" s="274"/>
      <c r="E54" s="275"/>
      <c r="F54" s="275">
        <v>7</v>
      </c>
      <c r="G54" s="275">
        <v>8</v>
      </c>
      <c r="H54" s="275">
        <v>6</v>
      </c>
      <c r="I54" s="275"/>
      <c r="J54" s="275"/>
      <c r="K54" s="276"/>
      <c r="L54" s="277"/>
      <c r="M54" s="278"/>
      <c r="N54" s="278"/>
      <c r="O54" s="278"/>
      <c r="P54" s="278"/>
      <c r="Q54" s="279"/>
      <c r="R54" s="277"/>
      <c r="S54" s="278"/>
      <c r="T54" s="278"/>
      <c r="U54" s="279"/>
      <c r="V54" s="277"/>
      <c r="W54" s="278"/>
      <c r="X54" s="278"/>
      <c r="Y54" s="279"/>
      <c r="Z54" s="277"/>
      <c r="AA54" s="278"/>
      <c r="AB54" s="278"/>
      <c r="AC54" s="278"/>
      <c r="AD54" s="279"/>
      <c r="AE54" s="277"/>
      <c r="AF54" s="278"/>
      <c r="AG54" s="278"/>
      <c r="AH54" s="278"/>
      <c r="AI54" s="279"/>
      <c r="AJ54" s="277"/>
      <c r="AK54" s="278"/>
      <c r="AL54" s="278"/>
      <c r="AM54" s="278"/>
      <c r="AN54" s="279"/>
      <c r="AO54" s="277"/>
      <c r="AP54" s="278"/>
      <c r="AQ54" s="279"/>
      <c r="AR54" s="280">
        <f>SUM(D54:AQ54)</f>
        <v>21</v>
      </c>
      <c r="AS54" s="394">
        <f>ROUND((AR54+AR55)/2,0)</f>
        <v>26</v>
      </c>
    </row>
    <row r="55" spans="1:45" ht="17.25" customHeight="1">
      <c r="A55" s="392"/>
      <c r="B55" s="393"/>
      <c r="C55" s="281">
        <v>2</v>
      </c>
      <c r="D55" s="282"/>
      <c r="E55" s="283"/>
      <c r="F55" s="283"/>
      <c r="G55" s="283"/>
      <c r="H55" s="283"/>
      <c r="I55" s="283"/>
      <c r="J55" s="283"/>
      <c r="K55" s="284"/>
      <c r="L55" s="285"/>
      <c r="M55" s="286"/>
      <c r="N55" s="286"/>
      <c r="O55" s="286"/>
      <c r="P55" s="286">
        <v>6</v>
      </c>
      <c r="Q55" s="287"/>
      <c r="R55" s="285"/>
      <c r="S55" s="286"/>
      <c r="T55" s="286">
        <v>5</v>
      </c>
      <c r="U55" s="287"/>
      <c r="V55" s="285">
        <v>6</v>
      </c>
      <c r="W55" s="286"/>
      <c r="X55" s="286">
        <v>7</v>
      </c>
      <c r="Y55" s="287"/>
      <c r="Z55" s="285">
        <v>5</v>
      </c>
      <c r="AA55" s="286">
        <v>1</v>
      </c>
      <c r="AB55" s="286"/>
      <c r="AC55" s="286"/>
      <c r="AD55" s="287"/>
      <c r="AE55" s="285"/>
      <c r="AF55" s="286"/>
      <c r="AG55" s="286"/>
      <c r="AH55" s="286"/>
      <c r="AI55" s="287"/>
      <c r="AJ55" s="285"/>
      <c r="AK55" s="286"/>
      <c r="AL55" s="286"/>
      <c r="AM55" s="286"/>
      <c r="AN55" s="287"/>
      <c r="AO55" s="285"/>
      <c r="AP55" s="286"/>
      <c r="AQ55" s="287"/>
      <c r="AR55" s="288">
        <f>SUM(D55:AQ55)</f>
        <v>30</v>
      </c>
      <c r="AS55" s="395"/>
    </row>
    <row r="56" spans="1:45" ht="17.25" customHeight="1">
      <c r="A56" s="392">
        <v>21</v>
      </c>
      <c r="B56" s="393" t="str">
        <f>'A-RACHNATMAK'!B31</f>
        <v>મકરૂબિયા જીજ્ઞેશભાઇ અશોકભાઇ</v>
      </c>
      <c r="C56" s="273">
        <v>1</v>
      </c>
      <c r="D56" s="274"/>
      <c r="E56" s="275"/>
      <c r="F56" s="275"/>
      <c r="G56" s="275"/>
      <c r="H56" s="275"/>
      <c r="I56" s="275">
        <v>6</v>
      </c>
      <c r="J56" s="275">
        <v>3</v>
      </c>
      <c r="K56" s="276">
        <v>7</v>
      </c>
      <c r="L56" s="277"/>
      <c r="M56" s="278"/>
      <c r="N56" s="278"/>
      <c r="O56" s="278"/>
      <c r="P56" s="278"/>
      <c r="Q56" s="279"/>
      <c r="R56" s="277"/>
      <c r="S56" s="278"/>
      <c r="T56" s="278"/>
      <c r="U56" s="279"/>
      <c r="V56" s="277"/>
      <c r="W56" s="278"/>
      <c r="X56" s="278"/>
      <c r="Y56" s="279"/>
      <c r="Z56" s="277"/>
      <c r="AA56" s="278"/>
      <c r="AB56" s="278"/>
      <c r="AC56" s="278"/>
      <c r="AD56" s="279"/>
      <c r="AE56" s="277"/>
      <c r="AF56" s="278"/>
      <c r="AG56" s="278"/>
      <c r="AH56" s="278"/>
      <c r="AI56" s="279"/>
      <c r="AJ56" s="277"/>
      <c r="AK56" s="278"/>
      <c r="AL56" s="278"/>
      <c r="AM56" s="278"/>
      <c r="AN56" s="279"/>
      <c r="AO56" s="277"/>
      <c r="AP56" s="278"/>
      <c r="AQ56" s="279"/>
      <c r="AR56" s="280">
        <f t="shared" ref="AR56:AR85" si="1">SUM(D56:AQ56)</f>
        <v>16</v>
      </c>
      <c r="AS56" s="394">
        <f>ROUND((AR56+AR57)/2,0)</f>
        <v>8</v>
      </c>
    </row>
    <row r="57" spans="1:45" ht="17.25" customHeight="1">
      <c r="A57" s="392"/>
      <c r="B57" s="393"/>
      <c r="C57" s="281">
        <v>2</v>
      </c>
      <c r="D57" s="282"/>
      <c r="E57" s="283"/>
      <c r="F57" s="283"/>
      <c r="G57" s="283"/>
      <c r="H57" s="283"/>
      <c r="I57" s="283"/>
      <c r="J57" s="283"/>
      <c r="K57" s="284"/>
      <c r="L57" s="285"/>
      <c r="M57" s="286"/>
      <c r="N57" s="286"/>
      <c r="O57" s="286"/>
      <c r="P57" s="286"/>
      <c r="Q57" s="287"/>
      <c r="R57" s="285"/>
      <c r="S57" s="286"/>
      <c r="T57" s="286"/>
      <c r="U57" s="287"/>
      <c r="V57" s="285"/>
      <c r="W57" s="286"/>
      <c r="X57" s="286"/>
      <c r="Y57" s="287"/>
      <c r="Z57" s="285"/>
      <c r="AA57" s="286"/>
      <c r="AB57" s="286"/>
      <c r="AC57" s="286"/>
      <c r="AD57" s="287"/>
      <c r="AE57" s="285"/>
      <c r="AF57" s="286"/>
      <c r="AG57" s="286"/>
      <c r="AH57" s="286"/>
      <c r="AI57" s="287"/>
      <c r="AJ57" s="285"/>
      <c r="AK57" s="286"/>
      <c r="AL57" s="286"/>
      <c r="AM57" s="286"/>
      <c r="AN57" s="287"/>
      <c r="AO57" s="285"/>
      <c r="AP57" s="286"/>
      <c r="AQ57" s="287"/>
      <c r="AR57" s="288">
        <f t="shared" si="1"/>
        <v>0</v>
      </c>
      <c r="AS57" s="395"/>
    </row>
    <row r="58" spans="1:45" ht="17.25" customHeight="1">
      <c r="A58" s="392">
        <v>22</v>
      </c>
      <c r="B58" s="393" t="str">
        <f>'A-RACHNATMAK'!B32</f>
        <v>ખિમસુરીયા જ્યોત્સના મુકેશભાઇ</v>
      </c>
      <c r="C58" s="273">
        <v>1</v>
      </c>
      <c r="D58" s="274"/>
      <c r="E58" s="275"/>
      <c r="F58" s="275"/>
      <c r="G58" s="275"/>
      <c r="H58" s="275"/>
      <c r="I58" s="275"/>
      <c r="J58" s="275"/>
      <c r="K58" s="276"/>
      <c r="L58" s="277"/>
      <c r="M58" s="278"/>
      <c r="N58" s="278"/>
      <c r="O58" s="278"/>
      <c r="P58" s="278"/>
      <c r="Q58" s="279"/>
      <c r="R58" s="277"/>
      <c r="S58" s="278"/>
      <c r="T58" s="278"/>
      <c r="U58" s="279"/>
      <c r="V58" s="277"/>
      <c r="W58" s="278"/>
      <c r="X58" s="278"/>
      <c r="Y58" s="279"/>
      <c r="Z58" s="277"/>
      <c r="AA58" s="278"/>
      <c r="AB58" s="278"/>
      <c r="AC58" s="278"/>
      <c r="AD58" s="279"/>
      <c r="AE58" s="277"/>
      <c r="AF58" s="278"/>
      <c r="AG58" s="278"/>
      <c r="AH58" s="278"/>
      <c r="AI58" s="279"/>
      <c r="AJ58" s="277"/>
      <c r="AK58" s="278"/>
      <c r="AL58" s="278"/>
      <c r="AM58" s="278"/>
      <c r="AN58" s="279"/>
      <c r="AO58" s="277"/>
      <c r="AP58" s="278"/>
      <c r="AQ58" s="279"/>
      <c r="AR58" s="280">
        <f t="shared" si="1"/>
        <v>0</v>
      </c>
      <c r="AS58" s="394">
        <f>ROUND((AR58+AR59)/2,0)</f>
        <v>0</v>
      </c>
    </row>
    <row r="59" spans="1:45" ht="17.25" customHeight="1">
      <c r="A59" s="392"/>
      <c r="B59" s="393"/>
      <c r="C59" s="281">
        <v>2</v>
      </c>
      <c r="D59" s="282"/>
      <c r="E59" s="283"/>
      <c r="F59" s="283"/>
      <c r="G59" s="283"/>
      <c r="H59" s="283"/>
      <c r="I59" s="283"/>
      <c r="J59" s="283"/>
      <c r="K59" s="284"/>
      <c r="L59" s="285"/>
      <c r="M59" s="286"/>
      <c r="N59" s="286"/>
      <c r="O59" s="286"/>
      <c r="P59" s="286"/>
      <c r="Q59" s="287"/>
      <c r="R59" s="285"/>
      <c r="S59" s="286"/>
      <c r="T59" s="286"/>
      <c r="U59" s="287"/>
      <c r="V59" s="285"/>
      <c r="W59" s="286"/>
      <c r="X59" s="286"/>
      <c r="Y59" s="287"/>
      <c r="Z59" s="285"/>
      <c r="AA59" s="286"/>
      <c r="AB59" s="286"/>
      <c r="AC59" s="286"/>
      <c r="AD59" s="287"/>
      <c r="AE59" s="285"/>
      <c r="AF59" s="286"/>
      <c r="AG59" s="286"/>
      <c r="AH59" s="286"/>
      <c r="AI59" s="287"/>
      <c r="AJ59" s="285"/>
      <c r="AK59" s="286"/>
      <c r="AL59" s="286"/>
      <c r="AM59" s="286"/>
      <c r="AN59" s="287"/>
      <c r="AO59" s="285"/>
      <c r="AP59" s="286"/>
      <c r="AQ59" s="287"/>
      <c r="AR59" s="288">
        <f t="shared" si="1"/>
        <v>0</v>
      </c>
      <c r="AS59" s="395"/>
    </row>
    <row r="60" spans="1:45" ht="17.25" customHeight="1">
      <c r="A60" s="392">
        <v>23</v>
      </c>
      <c r="B60" s="393" t="str">
        <f>'A-RACHNATMAK'!B33</f>
        <v>ગરણિયા રાજલબેન સામતભાઇ</v>
      </c>
      <c r="C60" s="273">
        <v>1</v>
      </c>
      <c r="D60" s="274"/>
      <c r="E60" s="275"/>
      <c r="F60" s="275"/>
      <c r="G60" s="275"/>
      <c r="H60" s="275"/>
      <c r="I60" s="275"/>
      <c r="J60" s="275"/>
      <c r="K60" s="276"/>
      <c r="L60" s="277"/>
      <c r="M60" s="278"/>
      <c r="N60" s="278"/>
      <c r="O60" s="278"/>
      <c r="P60" s="278"/>
      <c r="Q60" s="279"/>
      <c r="R60" s="277"/>
      <c r="S60" s="278"/>
      <c r="T60" s="278"/>
      <c r="U60" s="279"/>
      <c r="V60" s="277"/>
      <c r="W60" s="278"/>
      <c r="X60" s="278"/>
      <c r="Y60" s="279"/>
      <c r="Z60" s="277"/>
      <c r="AA60" s="278"/>
      <c r="AB60" s="278"/>
      <c r="AC60" s="278"/>
      <c r="AD60" s="279"/>
      <c r="AE60" s="277"/>
      <c r="AF60" s="278"/>
      <c r="AG60" s="278"/>
      <c r="AH60" s="278"/>
      <c r="AI60" s="279"/>
      <c r="AJ60" s="277"/>
      <c r="AK60" s="278"/>
      <c r="AL60" s="278"/>
      <c r="AM60" s="278"/>
      <c r="AN60" s="279"/>
      <c r="AO60" s="277"/>
      <c r="AP60" s="278"/>
      <c r="AQ60" s="279"/>
      <c r="AR60" s="280">
        <f t="shared" si="1"/>
        <v>0</v>
      </c>
      <c r="AS60" s="394">
        <f>ROUND((AR60+AR61)/2,0)</f>
        <v>0</v>
      </c>
    </row>
    <row r="61" spans="1:45" ht="17.25" customHeight="1">
      <c r="A61" s="392"/>
      <c r="B61" s="393"/>
      <c r="C61" s="281">
        <v>2</v>
      </c>
      <c r="D61" s="282"/>
      <c r="E61" s="283"/>
      <c r="F61" s="283"/>
      <c r="G61" s="283"/>
      <c r="H61" s="283"/>
      <c r="I61" s="283"/>
      <c r="J61" s="283"/>
      <c r="K61" s="284"/>
      <c r="L61" s="285"/>
      <c r="M61" s="286"/>
      <c r="N61" s="286"/>
      <c r="O61" s="286"/>
      <c r="P61" s="286"/>
      <c r="Q61" s="287"/>
      <c r="R61" s="285"/>
      <c r="S61" s="286"/>
      <c r="T61" s="286"/>
      <c r="U61" s="287"/>
      <c r="V61" s="285"/>
      <c r="W61" s="286"/>
      <c r="X61" s="286"/>
      <c r="Y61" s="287"/>
      <c r="Z61" s="285"/>
      <c r="AA61" s="286"/>
      <c r="AB61" s="286"/>
      <c r="AC61" s="286"/>
      <c r="AD61" s="287"/>
      <c r="AE61" s="285"/>
      <c r="AF61" s="286"/>
      <c r="AG61" s="286"/>
      <c r="AH61" s="286"/>
      <c r="AI61" s="287"/>
      <c r="AJ61" s="285"/>
      <c r="AK61" s="286"/>
      <c r="AL61" s="286"/>
      <c r="AM61" s="286"/>
      <c r="AN61" s="287"/>
      <c r="AO61" s="285"/>
      <c r="AP61" s="286"/>
      <c r="AQ61" s="287"/>
      <c r="AR61" s="288">
        <f t="shared" si="1"/>
        <v>0</v>
      </c>
      <c r="AS61" s="395"/>
    </row>
    <row r="62" spans="1:45" ht="17.25" customHeight="1">
      <c r="A62" s="392">
        <v>24</v>
      </c>
      <c r="B62" s="393" t="str">
        <f>'A-RACHNATMAK'!B34</f>
        <v>ગરણિયા નિરાલીબેન પ્રદીપભાઇ</v>
      </c>
      <c r="C62" s="273">
        <v>1</v>
      </c>
      <c r="D62" s="274"/>
      <c r="E62" s="275"/>
      <c r="F62" s="275"/>
      <c r="G62" s="275"/>
      <c r="H62" s="275"/>
      <c r="I62" s="275"/>
      <c r="J62" s="275"/>
      <c r="K62" s="276"/>
      <c r="L62" s="277"/>
      <c r="M62" s="278"/>
      <c r="N62" s="278"/>
      <c r="O62" s="278"/>
      <c r="P62" s="278"/>
      <c r="Q62" s="279"/>
      <c r="R62" s="277"/>
      <c r="S62" s="278"/>
      <c r="T62" s="278"/>
      <c r="U62" s="279"/>
      <c r="V62" s="277"/>
      <c r="W62" s="278"/>
      <c r="X62" s="278"/>
      <c r="Y62" s="279"/>
      <c r="Z62" s="277"/>
      <c r="AA62" s="278"/>
      <c r="AB62" s="278"/>
      <c r="AC62" s="278"/>
      <c r="AD62" s="279"/>
      <c r="AE62" s="277"/>
      <c r="AF62" s="278"/>
      <c r="AG62" s="278"/>
      <c r="AH62" s="278"/>
      <c r="AI62" s="279"/>
      <c r="AJ62" s="277"/>
      <c r="AK62" s="278"/>
      <c r="AL62" s="278"/>
      <c r="AM62" s="278"/>
      <c r="AN62" s="279"/>
      <c r="AO62" s="277"/>
      <c r="AP62" s="278"/>
      <c r="AQ62" s="279"/>
      <c r="AR62" s="280">
        <f t="shared" si="1"/>
        <v>0</v>
      </c>
      <c r="AS62" s="394">
        <f>ROUND((AR62+AR63)/2,0)</f>
        <v>0</v>
      </c>
    </row>
    <row r="63" spans="1:45" ht="17.25" customHeight="1">
      <c r="A63" s="392"/>
      <c r="B63" s="393"/>
      <c r="C63" s="281">
        <v>2</v>
      </c>
      <c r="D63" s="282"/>
      <c r="E63" s="283"/>
      <c r="F63" s="283"/>
      <c r="G63" s="283"/>
      <c r="H63" s="283"/>
      <c r="I63" s="283"/>
      <c r="J63" s="283"/>
      <c r="K63" s="284"/>
      <c r="L63" s="285"/>
      <c r="M63" s="286"/>
      <c r="N63" s="286"/>
      <c r="O63" s="286"/>
      <c r="P63" s="286"/>
      <c r="Q63" s="287"/>
      <c r="R63" s="285"/>
      <c r="S63" s="286"/>
      <c r="T63" s="286"/>
      <c r="U63" s="287"/>
      <c r="V63" s="285"/>
      <c r="W63" s="286"/>
      <c r="X63" s="286"/>
      <c r="Y63" s="287"/>
      <c r="Z63" s="285"/>
      <c r="AA63" s="286"/>
      <c r="AB63" s="286"/>
      <c r="AC63" s="286"/>
      <c r="AD63" s="287"/>
      <c r="AE63" s="285"/>
      <c r="AF63" s="286"/>
      <c r="AG63" s="286"/>
      <c r="AH63" s="286"/>
      <c r="AI63" s="287"/>
      <c r="AJ63" s="285"/>
      <c r="AK63" s="286"/>
      <c r="AL63" s="286"/>
      <c r="AM63" s="286"/>
      <c r="AN63" s="287"/>
      <c r="AO63" s="285"/>
      <c r="AP63" s="286"/>
      <c r="AQ63" s="287"/>
      <c r="AR63" s="288">
        <f t="shared" si="1"/>
        <v>0</v>
      </c>
      <c r="AS63" s="395"/>
    </row>
    <row r="64" spans="1:45" ht="17.25" customHeight="1">
      <c r="A64" s="392">
        <v>25</v>
      </c>
      <c r="B64" s="393" t="str">
        <f>'A-RACHNATMAK'!B35</f>
        <v>ગરણિયા રાધાબેન લક્ષ્મણભાઇ</v>
      </c>
      <c r="C64" s="273">
        <v>1</v>
      </c>
      <c r="D64" s="274"/>
      <c r="E64" s="275"/>
      <c r="F64" s="275"/>
      <c r="G64" s="275"/>
      <c r="H64" s="275"/>
      <c r="I64" s="275"/>
      <c r="J64" s="275"/>
      <c r="K64" s="276"/>
      <c r="L64" s="277"/>
      <c r="M64" s="278"/>
      <c r="N64" s="278"/>
      <c r="O64" s="278"/>
      <c r="P64" s="278"/>
      <c r="Q64" s="279"/>
      <c r="R64" s="277"/>
      <c r="S64" s="278"/>
      <c r="T64" s="278"/>
      <c r="U64" s="279"/>
      <c r="V64" s="277"/>
      <c r="W64" s="278"/>
      <c r="X64" s="278"/>
      <c r="Y64" s="279"/>
      <c r="Z64" s="277"/>
      <c r="AA64" s="278"/>
      <c r="AB64" s="278"/>
      <c r="AC64" s="278"/>
      <c r="AD64" s="279"/>
      <c r="AE64" s="277"/>
      <c r="AF64" s="278"/>
      <c r="AG64" s="278"/>
      <c r="AH64" s="278"/>
      <c r="AI64" s="279"/>
      <c r="AJ64" s="277"/>
      <c r="AK64" s="278"/>
      <c r="AL64" s="278"/>
      <c r="AM64" s="278"/>
      <c r="AN64" s="279"/>
      <c r="AO64" s="277"/>
      <c r="AP64" s="278"/>
      <c r="AQ64" s="279"/>
      <c r="AR64" s="280">
        <f t="shared" si="1"/>
        <v>0</v>
      </c>
      <c r="AS64" s="394">
        <f>ROUND((AR64+AR65)/2,0)</f>
        <v>0</v>
      </c>
    </row>
    <row r="65" spans="1:45" ht="17.25" customHeight="1">
      <c r="A65" s="392"/>
      <c r="B65" s="393"/>
      <c r="C65" s="281">
        <v>2</v>
      </c>
      <c r="D65" s="282"/>
      <c r="E65" s="283"/>
      <c r="F65" s="283"/>
      <c r="G65" s="283"/>
      <c r="H65" s="283"/>
      <c r="I65" s="283"/>
      <c r="J65" s="283"/>
      <c r="K65" s="284"/>
      <c r="L65" s="285"/>
      <c r="M65" s="286"/>
      <c r="N65" s="286"/>
      <c r="O65" s="286"/>
      <c r="P65" s="286"/>
      <c r="Q65" s="287"/>
      <c r="R65" s="285"/>
      <c r="S65" s="286"/>
      <c r="T65" s="286"/>
      <c r="U65" s="287"/>
      <c r="V65" s="285"/>
      <c r="W65" s="286"/>
      <c r="X65" s="286"/>
      <c r="Y65" s="287"/>
      <c r="Z65" s="285"/>
      <c r="AA65" s="286"/>
      <c r="AB65" s="286"/>
      <c r="AC65" s="286"/>
      <c r="AD65" s="287"/>
      <c r="AE65" s="285"/>
      <c r="AF65" s="286"/>
      <c r="AG65" s="286"/>
      <c r="AH65" s="286"/>
      <c r="AI65" s="287"/>
      <c r="AJ65" s="285"/>
      <c r="AK65" s="286"/>
      <c r="AL65" s="286"/>
      <c r="AM65" s="286"/>
      <c r="AN65" s="287"/>
      <c r="AO65" s="285"/>
      <c r="AP65" s="286"/>
      <c r="AQ65" s="287"/>
      <c r="AR65" s="288">
        <f t="shared" si="1"/>
        <v>0</v>
      </c>
      <c r="AS65" s="395"/>
    </row>
    <row r="66" spans="1:45" ht="17.25" customHeight="1">
      <c r="A66" s="392">
        <v>26</v>
      </c>
      <c r="B66" s="393" t="str">
        <f>'A-RACHNATMAK'!B36</f>
        <v>ગૌસ્વામિ મયુરીબેન રમેશગીરી</v>
      </c>
      <c r="C66" s="273">
        <v>1</v>
      </c>
      <c r="D66" s="274"/>
      <c r="E66" s="275"/>
      <c r="F66" s="275"/>
      <c r="G66" s="275"/>
      <c r="H66" s="275"/>
      <c r="I66" s="275"/>
      <c r="J66" s="275"/>
      <c r="K66" s="276"/>
      <c r="L66" s="277"/>
      <c r="M66" s="278"/>
      <c r="N66" s="278"/>
      <c r="O66" s="278"/>
      <c r="P66" s="278"/>
      <c r="Q66" s="279"/>
      <c r="R66" s="277"/>
      <c r="S66" s="278"/>
      <c r="T66" s="278"/>
      <c r="U66" s="279"/>
      <c r="V66" s="277"/>
      <c r="W66" s="278"/>
      <c r="X66" s="278"/>
      <c r="Y66" s="279"/>
      <c r="Z66" s="277"/>
      <c r="AA66" s="278"/>
      <c r="AB66" s="278"/>
      <c r="AC66" s="278"/>
      <c r="AD66" s="279"/>
      <c r="AE66" s="277"/>
      <c r="AF66" s="278"/>
      <c r="AG66" s="278"/>
      <c r="AH66" s="278"/>
      <c r="AI66" s="279"/>
      <c r="AJ66" s="277"/>
      <c r="AK66" s="278"/>
      <c r="AL66" s="278"/>
      <c r="AM66" s="278"/>
      <c r="AN66" s="279"/>
      <c r="AO66" s="277"/>
      <c r="AP66" s="278"/>
      <c r="AQ66" s="279"/>
      <c r="AR66" s="280">
        <f t="shared" si="1"/>
        <v>0</v>
      </c>
      <c r="AS66" s="394">
        <f>ROUND((AR66+AR67)/2,0)</f>
        <v>0</v>
      </c>
    </row>
    <row r="67" spans="1:45" ht="17.25" customHeight="1">
      <c r="A67" s="392"/>
      <c r="B67" s="393"/>
      <c r="C67" s="281">
        <v>2</v>
      </c>
      <c r="D67" s="282"/>
      <c r="E67" s="283"/>
      <c r="F67" s="283"/>
      <c r="G67" s="283"/>
      <c r="H67" s="283"/>
      <c r="I67" s="283"/>
      <c r="J67" s="283"/>
      <c r="K67" s="284"/>
      <c r="L67" s="285"/>
      <c r="M67" s="286"/>
      <c r="N67" s="286"/>
      <c r="O67" s="286"/>
      <c r="P67" s="286"/>
      <c r="Q67" s="287"/>
      <c r="R67" s="285"/>
      <c r="S67" s="286"/>
      <c r="T67" s="286"/>
      <c r="U67" s="287"/>
      <c r="V67" s="285"/>
      <c r="W67" s="286"/>
      <c r="X67" s="286"/>
      <c r="Y67" s="287"/>
      <c r="Z67" s="285"/>
      <c r="AA67" s="286"/>
      <c r="AB67" s="286"/>
      <c r="AC67" s="286"/>
      <c r="AD67" s="287"/>
      <c r="AE67" s="285"/>
      <c r="AF67" s="286"/>
      <c r="AG67" s="286"/>
      <c r="AH67" s="286"/>
      <c r="AI67" s="287"/>
      <c r="AJ67" s="285"/>
      <c r="AK67" s="286"/>
      <c r="AL67" s="286"/>
      <c r="AM67" s="286"/>
      <c r="AN67" s="287"/>
      <c r="AO67" s="285"/>
      <c r="AP67" s="286"/>
      <c r="AQ67" s="287"/>
      <c r="AR67" s="288">
        <f t="shared" si="1"/>
        <v>0</v>
      </c>
      <c r="AS67" s="395"/>
    </row>
    <row r="68" spans="1:45" ht="17.25" customHeight="1">
      <c r="A68" s="392">
        <v>27</v>
      </c>
      <c r="B68" s="393" t="str">
        <f>'A-RACHNATMAK'!B37</f>
        <v>બતાડા જાનકી વાલાભાઇ</v>
      </c>
      <c r="C68" s="273">
        <v>1</v>
      </c>
      <c r="D68" s="274"/>
      <c r="E68" s="275"/>
      <c r="F68" s="275"/>
      <c r="G68" s="275"/>
      <c r="H68" s="275"/>
      <c r="I68" s="275"/>
      <c r="J68" s="275"/>
      <c r="K68" s="276"/>
      <c r="L68" s="277"/>
      <c r="M68" s="278"/>
      <c r="N68" s="278"/>
      <c r="O68" s="278"/>
      <c r="P68" s="278"/>
      <c r="Q68" s="279"/>
      <c r="R68" s="277"/>
      <c r="S68" s="278"/>
      <c r="T68" s="278"/>
      <c r="U68" s="279"/>
      <c r="V68" s="277"/>
      <c r="W68" s="278"/>
      <c r="X68" s="278"/>
      <c r="Y68" s="279"/>
      <c r="Z68" s="277"/>
      <c r="AA68" s="278"/>
      <c r="AB68" s="278"/>
      <c r="AC68" s="278"/>
      <c r="AD68" s="279"/>
      <c r="AE68" s="277"/>
      <c r="AF68" s="278"/>
      <c r="AG68" s="278"/>
      <c r="AH68" s="278"/>
      <c r="AI68" s="279"/>
      <c r="AJ68" s="277"/>
      <c r="AK68" s="278"/>
      <c r="AL68" s="278"/>
      <c r="AM68" s="278"/>
      <c r="AN68" s="279"/>
      <c r="AO68" s="277"/>
      <c r="AP68" s="278"/>
      <c r="AQ68" s="279"/>
      <c r="AR68" s="280">
        <f t="shared" si="1"/>
        <v>0</v>
      </c>
      <c r="AS68" s="394">
        <f>ROUND((AR68+AR69)/2,0)</f>
        <v>0</v>
      </c>
    </row>
    <row r="69" spans="1:45" ht="17.25" customHeight="1">
      <c r="A69" s="392"/>
      <c r="B69" s="393"/>
      <c r="C69" s="281">
        <v>2</v>
      </c>
      <c r="D69" s="282"/>
      <c r="E69" s="283"/>
      <c r="F69" s="283"/>
      <c r="G69" s="283"/>
      <c r="H69" s="283"/>
      <c r="I69" s="283"/>
      <c r="J69" s="283"/>
      <c r="K69" s="284"/>
      <c r="L69" s="285"/>
      <c r="M69" s="286"/>
      <c r="N69" s="286"/>
      <c r="O69" s="286"/>
      <c r="P69" s="286"/>
      <c r="Q69" s="287"/>
      <c r="R69" s="285"/>
      <c r="S69" s="286"/>
      <c r="T69" s="286"/>
      <c r="U69" s="287"/>
      <c r="V69" s="285"/>
      <c r="W69" s="286"/>
      <c r="X69" s="286"/>
      <c r="Y69" s="287"/>
      <c r="Z69" s="285"/>
      <c r="AA69" s="286"/>
      <c r="AB69" s="286"/>
      <c r="AC69" s="286"/>
      <c r="AD69" s="287"/>
      <c r="AE69" s="285"/>
      <c r="AF69" s="286"/>
      <c r="AG69" s="286"/>
      <c r="AH69" s="286"/>
      <c r="AI69" s="287"/>
      <c r="AJ69" s="285"/>
      <c r="AK69" s="286"/>
      <c r="AL69" s="286"/>
      <c r="AM69" s="286"/>
      <c r="AN69" s="287"/>
      <c r="AO69" s="285"/>
      <c r="AP69" s="286"/>
      <c r="AQ69" s="287"/>
      <c r="AR69" s="288">
        <f t="shared" si="1"/>
        <v>0</v>
      </c>
      <c r="AS69" s="395"/>
    </row>
    <row r="70" spans="1:45" ht="17.25" customHeight="1">
      <c r="A70" s="392">
        <v>28</v>
      </c>
      <c r="B70" s="393" t="str">
        <f>'A-RACHNATMAK'!B38</f>
        <v>બતાડા ક્રિષ્નાબેન દેવશીભાઇ</v>
      </c>
      <c r="C70" s="273">
        <v>1</v>
      </c>
      <c r="D70" s="274"/>
      <c r="E70" s="275"/>
      <c r="F70" s="275"/>
      <c r="G70" s="275"/>
      <c r="H70" s="275"/>
      <c r="I70" s="275"/>
      <c r="J70" s="275"/>
      <c r="K70" s="276"/>
      <c r="L70" s="277"/>
      <c r="M70" s="278"/>
      <c r="N70" s="278"/>
      <c r="O70" s="278"/>
      <c r="P70" s="278"/>
      <c r="Q70" s="279"/>
      <c r="R70" s="277"/>
      <c r="S70" s="278"/>
      <c r="T70" s="278"/>
      <c r="U70" s="279"/>
      <c r="V70" s="277"/>
      <c r="W70" s="278"/>
      <c r="X70" s="278"/>
      <c r="Y70" s="279"/>
      <c r="Z70" s="277"/>
      <c r="AA70" s="278"/>
      <c r="AB70" s="278"/>
      <c r="AC70" s="278"/>
      <c r="AD70" s="279"/>
      <c r="AE70" s="277"/>
      <c r="AF70" s="278"/>
      <c r="AG70" s="278"/>
      <c r="AH70" s="278"/>
      <c r="AI70" s="279"/>
      <c r="AJ70" s="277"/>
      <c r="AK70" s="278"/>
      <c r="AL70" s="278"/>
      <c r="AM70" s="278"/>
      <c r="AN70" s="279"/>
      <c r="AO70" s="277"/>
      <c r="AP70" s="278"/>
      <c r="AQ70" s="279"/>
      <c r="AR70" s="280">
        <f t="shared" si="1"/>
        <v>0</v>
      </c>
      <c r="AS70" s="394">
        <f>ROUND((AR70+AR71)/2,0)</f>
        <v>0</v>
      </c>
    </row>
    <row r="71" spans="1:45" ht="17.25" customHeight="1">
      <c r="A71" s="392"/>
      <c r="B71" s="393"/>
      <c r="C71" s="281">
        <v>2</v>
      </c>
      <c r="D71" s="282"/>
      <c r="E71" s="283"/>
      <c r="F71" s="283"/>
      <c r="G71" s="283"/>
      <c r="H71" s="283"/>
      <c r="I71" s="283"/>
      <c r="J71" s="283"/>
      <c r="K71" s="284"/>
      <c r="L71" s="285"/>
      <c r="M71" s="286"/>
      <c r="N71" s="286"/>
      <c r="O71" s="286"/>
      <c r="P71" s="286"/>
      <c r="Q71" s="287"/>
      <c r="R71" s="285"/>
      <c r="S71" s="286"/>
      <c r="T71" s="286"/>
      <c r="U71" s="287"/>
      <c r="V71" s="285"/>
      <c r="W71" s="286"/>
      <c r="X71" s="286"/>
      <c r="Y71" s="287"/>
      <c r="Z71" s="285"/>
      <c r="AA71" s="286"/>
      <c r="AB71" s="286"/>
      <c r="AC71" s="286"/>
      <c r="AD71" s="287"/>
      <c r="AE71" s="285"/>
      <c r="AF71" s="286"/>
      <c r="AG71" s="286"/>
      <c r="AH71" s="286"/>
      <c r="AI71" s="287"/>
      <c r="AJ71" s="285"/>
      <c r="AK71" s="286"/>
      <c r="AL71" s="286"/>
      <c r="AM71" s="286"/>
      <c r="AN71" s="287"/>
      <c r="AO71" s="285"/>
      <c r="AP71" s="286"/>
      <c r="AQ71" s="287"/>
      <c r="AR71" s="288">
        <f t="shared" si="1"/>
        <v>0</v>
      </c>
      <c r="AS71" s="395"/>
    </row>
    <row r="72" spans="1:45" ht="17.25" customHeight="1">
      <c r="A72" s="392">
        <v>29</v>
      </c>
      <c r="B72" s="393" t="str">
        <f>'A-RACHNATMAK'!B39</f>
        <v>પરમાર અનિષા રમેશભાઇ</v>
      </c>
      <c r="C72" s="273">
        <v>1</v>
      </c>
      <c r="D72" s="274"/>
      <c r="E72" s="275"/>
      <c r="F72" s="275"/>
      <c r="G72" s="275"/>
      <c r="H72" s="275"/>
      <c r="I72" s="275"/>
      <c r="J72" s="275"/>
      <c r="K72" s="276"/>
      <c r="L72" s="277"/>
      <c r="M72" s="278"/>
      <c r="N72" s="278"/>
      <c r="O72" s="278"/>
      <c r="P72" s="278"/>
      <c r="Q72" s="279"/>
      <c r="R72" s="277"/>
      <c r="S72" s="278"/>
      <c r="T72" s="278"/>
      <c r="U72" s="279"/>
      <c r="V72" s="277"/>
      <c r="W72" s="278"/>
      <c r="X72" s="278"/>
      <c r="Y72" s="279"/>
      <c r="Z72" s="277"/>
      <c r="AA72" s="278"/>
      <c r="AB72" s="278"/>
      <c r="AC72" s="278"/>
      <c r="AD72" s="279"/>
      <c r="AE72" s="277"/>
      <c r="AF72" s="278"/>
      <c r="AG72" s="278"/>
      <c r="AH72" s="278"/>
      <c r="AI72" s="279"/>
      <c r="AJ72" s="277"/>
      <c r="AK72" s="278"/>
      <c r="AL72" s="278"/>
      <c r="AM72" s="278"/>
      <c r="AN72" s="279"/>
      <c r="AO72" s="277"/>
      <c r="AP72" s="278"/>
      <c r="AQ72" s="279"/>
      <c r="AR72" s="280">
        <f t="shared" si="1"/>
        <v>0</v>
      </c>
      <c r="AS72" s="394">
        <f>ROUND((AR72+AR73)/2,0)</f>
        <v>0</v>
      </c>
    </row>
    <row r="73" spans="1:45" ht="17.25" customHeight="1">
      <c r="A73" s="392"/>
      <c r="B73" s="393"/>
      <c r="C73" s="281">
        <v>2</v>
      </c>
      <c r="D73" s="282"/>
      <c r="E73" s="283"/>
      <c r="F73" s="283"/>
      <c r="G73" s="283"/>
      <c r="H73" s="283"/>
      <c r="I73" s="283"/>
      <c r="J73" s="283"/>
      <c r="K73" s="284"/>
      <c r="L73" s="285"/>
      <c r="M73" s="286"/>
      <c r="N73" s="286"/>
      <c r="O73" s="286"/>
      <c r="P73" s="286"/>
      <c r="Q73" s="287"/>
      <c r="R73" s="285"/>
      <c r="S73" s="286"/>
      <c r="T73" s="286"/>
      <c r="U73" s="287"/>
      <c r="V73" s="285"/>
      <c r="W73" s="286"/>
      <c r="X73" s="286"/>
      <c r="Y73" s="287"/>
      <c r="Z73" s="285"/>
      <c r="AA73" s="286"/>
      <c r="AB73" s="286"/>
      <c r="AC73" s="286"/>
      <c r="AD73" s="287"/>
      <c r="AE73" s="285"/>
      <c r="AF73" s="286"/>
      <c r="AG73" s="286"/>
      <c r="AH73" s="286"/>
      <c r="AI73" s="287"/>
      <c r="AJ73" s="285"/>
      <c r="AK73" s="286"/>
      <c r="AL73" s="286"/>
      <c r="AM73" s="286"/>
      <c r="AN73" s="287"/>
      <c r="AO73" s="285"/>
      <c r="AP73" s="286"/>
      <c r="AQ73" s="287"/>
      <c r="AR73" s="288">
        <f t="shared" si="1"/>
        <v>0</v>
      </c>
      <c r="AS73" s="395"/>
    </row>
    <row r="74" spans="1:45" ht="17.25" customHeight="1">
      <c r="A74" s="392">
        <v>30</v>
      </c>
      <c r="B74" s="393" t="str">
        <f>'A-RACHNATMAK'!B40</f>
        <v>મકરૂબિયા નમ્રતા વશરામભાઇ</v>
      </c>
      <c r="C74" s="273">
        <v>1</v>
      </c>
      <c r="D74" s="274">
        <v>7</v>
      </c>
      <c r="E74" s="275">
        <v>8</v>
      </c>
      <c r="F74" s="275">
        <v>5</v>
      </c>
      <c r="G74" s="275">
        <v>6</v>
      </c>
      <c r="H74" s="275">
        <v>7</v>
      </c>
      <c r="I74" s="275">
        <v>8</v>
      </c>
      <c r="J74" s="275"/>
      <c r="K74" s="276"/>
      <c r="L74" s="277"/>
      <c r="M74" s="278"/>
      <c r="N74" s="278"/>
      <c r="O74" s="278"/>
      <c r="P74" s="278"/>
      <c r="Q74" s="279"/>
      <c r="R74" s="277"/>
      <c r="S74" s="278"/>
      <c r="T74" s="278"/>
      <c r="U74" s="279"/>
      <c r="V74" s="277"/>
      <c r="W74" s="278"/>
      <c r="X74" s="278"/>
      <c r="Y74" s="279"/>
      <c r="Z74" s="277"/>
      <c r="AA74" s="278"/>
      <c r="AB74" s="278"/>
      <c r="AC74" s="278"/>
      <c r="AD74" s="279"/>
      <c r="AE74" s="277"/>
      <c r="AF74" s="278"/>
      <c r="AG74" s="278"/>
      <c r="AH74" s="278"/>
      <c r="AI74" s="279"/>
      <c r="AJ74" s="277"/>
      <c r="AK74" s="278"/>
      <c r="AL74" s="278"/>
      <c r="AM74" s="278"/>
      <c r="AN74" s="279"/>
      <c r="AO74" s="277"/>
      <c r="AP74" s="278"/>
      <c r="AQ74" s="279"/>
      <c r="AR74" s="280">
        <f t="shared" si="1"/>
        <v>41</v>
      </c>
      <c r="AS74" s="394">
        <f>ROUND((AR74+AR75)/2,0)</f>
        <v>21</v>
      </c>
    </row>
    <row r="75" spans="1:45" ht="17.25" customHeight="1">
      <c r="A75" s="392"/>
      <c r="B75" s="393"/>
      <c r="C75" s="281">
        <v>2</v>
      </c>
      <c r="D75" s="282"/>
      <c r="E75" s="283"/>
      <c r="F75" s="283"/>
      <c r="G75" s="283"/>
      <c r="H75" s="283"/>
      <c r="I75" s="283"/>
      <c r="J75" s="283"/>
      <c r="K75" s="284"/>
      <c r="L75" s="285"/>
      <c r="M75" s="286"/>
      <c r="N75" s="286"/>
      <c r="O75" s="286"/>
      <c r="P75" s="286"/>
      <c r="Q75" s="287"/>
      <c r="R75" s="285"/>
      <c r="S75" s="286"/>
      <c r="T75" s="286"/>
      <c r="U75" s="287"/>
      <c r="V75" s="285"/>
      <c r="W75" s="286"/>
      <c r="X75" s="286"/>
      <c r="Y75" s="287"/>
      <c r="Z75" s="285"/>
      <c r="AA75" s="286"/>
      <c r="AB75" s="286"/>
      <c r="AC75" s="286"/>
      <c r="AD75" s="287"/>
      <c r="AE75" s="285"/>
      <c r="AF75" s="286"/>
      <c r="AG75" s="286"/>
      <c r="AH75" s="286"/>
      <c r="AI75" s="287"/>
      <c r="AJ75" s="285"/>
      <c r="AK75" s="286"/>
      <c r="AL75" s="286"/>
      <c r="AM75" s="286"/>
      <c r="AN75" s="287"/>
      <c r="AO75" s="285"/>
      <c r="AP75" s="286"/>
      <c r="AQ75" s="287"/>
      <c r="AR75" s="288">
        <f t="shared" si="1"/>
        <v>0</v>
      </c>
      <c r="AS75" s="395"/>
    </row>
    <row r="76" spans="1:45" ht="17.25" customHeight="1">
      <c r="A76" s="392">
        <v>31</v>
      </c>
      <c r="B76" s="393">
        <f>'A-RACHNATMAK'!B41</f>
        <v>0</v>
      </c>
      <c r="C76" s="273">
        <v>1</v>
      </c>
      <c r="D76" s="274"/>
      <c r="E76" s="275"/>
      <c r="F76" s="275"/>
      <c r="G76" s="275"/>
      <c r="H76" s="275"/>
      <c r="I76" s="275"/>
      <c r="J76" s="275"/>
      <c r="K76" s="276"/>
      <c r="L76" s="277"/>
      <c r="M76" s="278"/>
      <c r="N76" s="278"/>
      <c r="O76" s="278"/>
      <c r="P76" s="278"/>
      <c r="Q76" s="279"/>
      <c r="R76" s="277"/>
      <c r="S76" s="278"/>
      <c r="T76" s="278"/>
      <c r="U76" s="279"/>
      <c r="V76" s="277"/>
      <c r="W76" s="278"/>
      <c r="X76" s="278"/>
      <c r="Y76" s="279"/>
      <c r="Z76" s="277"/>
      <c r="AA76" s="278"/>
      <c r="AB76" s="278"/>
      <c r="AC76" s="278"/>
      <c r="AD76" s="279"/>
      <c r="AE76" s="277"/>
      <c r="AF76" s="278"/>
      <c r="AG76" s="278"/>
      <c r="AH76" s="278"/>
      <c r="AI76" s="279"/>
      <c r="AJ76" s="277"/>
      <c r="AK76" s="278"/>
      <c r="AL76" s="278"/>
      <c r="AM76" s="278"/>
      <c r="AN76" s="279"/>
      <c r="AO76" s="277"/>
      <c r="AP76" s="278"/>
      <c r="AQ76" s="279"/>
      <c r="AR76" s="280">
        <f t="shared" si="1"/>
        <v>0</v>
      </c>
      <c r="AS76" s="394">
        <f>ROUND((AR76+AR77)/2,0)</f>
        <v>0</v>
      </c>
    </row>
    <row r="77" spans="1:45" ht="17.25" customHeight="1">
      <c r="A77" s="392"/>
      <c r="B77" s="393"/>
      <c r="C77" s="281">
        <v>2</v>
      </c>
      <c r="D77" s="282"/>
      <c r="E77" s="283"/>
      <c r="F77" s="283"/>
      <c r="G77" s="283"/>
      <c r="H77" s="283"/>
      <c r="I77" s="283"/>
      <c r="J77" s="283"/>
      <c r="K77" s="284"/>
      <c r="L77" s="285"/>
      <c r="M77" s="286"/>
      <c r="N77" s="286"/>
      <c r="O77" s="286"/>
      <c r="P77" s="286"/>
      <c r="Q77" s="287"/>
      <c r="R77" s="285"/>
      <c r="S77" s="286"/>
      <c r="T77" s="286"/>
      <c r="U77" s="287"/>
      <c r="V77" s="285"/>
      <c r="W77" s="286"/>
      <c r="X77" s="286"/>
      <c r="Y77" s="287"/>
      <c r="Z77" s="285"/>
      <c r="AA77" s="286"/>
      <c r="AB77" s="286"/>
      <c r="AC77" s="286"/>
      <c r="AD77" s="287"/>
      <c r="AE77" s="285"/>
      <c r="AF77" s="286"/>
      <c r="AG77" s="286"/>
      <c r="AH77" s="286"/>
      <c r="AI77" s="287"/>
      <c r="AJ77" s="285"/>
      <c r="AK77" s="286"/>
      <c r="AL77" s="286"/>
      <c r="AM77" s="286"/>
      <c r="AN77" s="287"/>
      <c r="AO77" s="285"/>
      <c r="AP77" s="286"/>
      <c r="AQ77" s="287"/>
      <c r="AR77" s="288">
        <f t="shared" si="1"/>
        <v>0</v>
      </c>
      <c r="AS77" s="395"/>
    </row>
    <row r="78" spans="1:45" ht="17.25" customHeight="1">
      <c r="A78" s="392">
        <v>32</v>
      </c>
      <c r="B78" s="393">
        <f>'A-RACHNATMAK'!B42</f>
        <v>0</v>
      </c>
      <c r="C78" s="273">
        <v>1</v>
      </c>
      <c r="D78" s="274"/>
      <c r="E78" s="275"/>
      <c r="F78" s="275"/>
      <c r="G78" s="275"/>
      <c r="H78" s="275"/>
      <c r="I78" s="275"/>
      <c r="J78" s="275"/>
      <c r="K78" s="276"/>
      <c r="L78" s="277"/>
      <c r="M78" s="278"/>
      <c r="N78" s="278"/>
      <c r="O78" s="278"/>
      <c r="P78" s="278"/>
      <c r="Q78" s="279"/>
      <c r="R78" s="277"/>
      <c r="S78" s="278"/>
      <c r="T78" s="278"/>
      <c r="U78" s="279"/>
      <c r="V78" s="277"/>
      <c r="W78" s="278"/>
      <c r="X78" s="278"/>
      <c r="Y78" s="279"/>
      <c r="Z78" s="277"/>
      <c r="AA78" s="278"/>
      <c r="AB78" s="278"/>
      <c r="AC78" s="278"/>
      <c r="AD78" s="279"/>
      <c r="AE78" s="277"/>
      <c r="AF78" s="278"/>
      <c r="AG78" s="278"/>
      <c r="AH78" s="278"/>
      <c r="AI78" s="279"/>
      <c r="AJ78" s="277"/>
      <c r="AK78" s="278"/>
      <c r="AL78" s="278"/>
      <c r="AM78" s="278"/>
      <c r="AN78" s="279"/>
      <c r="AO78" s="277"/>
      <c r="AP78" s="278"/>
      <c r="AQ78" s="279"/>
      <c r="AR78" s="280">
        <f t="shared" si="1"/>
        <v>0</v>
      </c>
      <c r="AS78" s="394">
        <f>ROUND((AR78+AR79)/2,0)</f>
        <v>0</v>
      </c>
    </row>
    <row r="79" spans="1:45" ht="17.25" customHeight="1">
      <c r="A79" s="392"/>
      <c r="B79" s="393"/>
      <c r="C79" s="281">
        <v>2</v>
      </c>
      <c r="D79" s="282"/>
      <c r="E79" s="283"/>
      <c r="F79" s="283"/>
      <c r="G79" s="283"/>
      <c r="H79" s="283"/>
      <c r="I79" s="283"/>
      <c r="J79" s="283"/>
      <c r="K79" s="284"/>
      <c r="L79" s="285"/>
      <c r="M79" s="286"/>
      <c r="N79" s="286"/>
      <c r="O79" s="286"/>
      <c r="P79" s="286"/>
      <c r="Q79" s="287"/>
      <c r="R79" s="285"/>
      <c r="S79" s="286"/>
      <c r="T79" s="286"/>
      <c r="U79" s="287"/>
      <c r="V79" s="285"/>
      <c r="W79" s="286"/>
      <c r="X79" s="286"/>
      <c r="Y79" s="287"/>
      <c r="Z79" s="285"/>
      <c r="AA79" s="286"/>
      <c r="AB79" s="286"/>
      <c r="AC79" s="286"/>
      <c r="AD79" s="287"/>
      <c r="AE79" s="285"/>
      <c r="AF79" s="286"/>
      <c r="AG79" s="286"/>
      <c r="AH79" s="286"/>
      <c r="AI79" s="287"/>
      <c r="AJ79" s="285"/>
      <c r="AK79" s="286"/>
      <c r="AL79" s="286"/>
      <c r="AM79" s="286"/>
      <c r="AN79" s="287"/>
      <c r="AO79" s="285"/>
      <c r="AP79" s="286"/>
      <c r="AQ79" s="287"/>
      <c r="AR79" s="288">
        <f t="shared" si="1"/>
        <v>0</v>
      </c>
      <c r="AS79" s="395"/>
    </row>
    <row r="80" spans="1:45" ht="17.25" customHeight="1">
      <c r="A80" s="392">
        <v>33</v>
      </c>
      <c r="B80" s="393">
        <f>'A-RACHNATMAK'!B43</f>
        <v>0</v>
      </c>
      <c r="C80" s="273">
        <v>1</v>
      </c>
      <c r="D80" s="274"/>
      <c r="E80" s="275"/>
      <c r="F80" s="275"/>
      <c r="G80" s="275"/>
      <c r="H80" s="275"/>
      <c r="I80" s="275"/>
      <c r="J80" s="275"/>
      <c r="K80" s="276"/>
      <c r="L80" s="277"/>
      <c r="M80" s="278"/>
      <c r="N80" s="278"/>
      <c r="O80" s="278"/>
      <c r="P80" s="278"/>
      <c r="Q80" s="279"/>
      <c r="R80" s="277"/>
      <c r="S80" s="278"/>
      <c r="T80" s="278"/>
      <c r="U80" s="279"/>
      <c r="V80" s="277"/>
      <c r="W80" s="278"/>
      <c r="X80" s="278"/>
      <c r="Y80" s="279"/>
      <c r="Z80" s="277"/>
      <c r="AA80" s="278"/>
      <c r="AB80" s="278"/>
      <c r="AC80" s="278"/>
      <c r="AD80" s="279"/>
      <c r="AE80" s="277"/>
      <c r="AF80" s="278"/>
      <c r="AG80" s="278"/>
      <c r="AH80" s="278"/>
      <c r="AI80" s="279"/>
      <c r="AJ80" s="277"/>
      <c r="AK80" s="278"/>
      <c r="AL80" s="278"/>
      <c r="AM80" s="278"/>
      <c r="AN80" s="279"/>
      <c r="AO80" s="277"/>
      <c r="AP80" s="278"/>
      <c r="AQ80" s="279"/>
      <c r="AR80" s="280">
        <f t="shared" si="1"/>
        <v>0</v>
      </c>
      <c r="AS80" s="394">
        <f>ROUND((AR80+AR81)/2,0)</f>
        <v>0</v>
      </c>
    </row>
    <row r="81" spans="1:45" ht="17.25" customHeight="1">
      <c r="A81" s="392"/>
      <c r="B81" s="393"/>
      <c r="C81" s="281">
        <v>2</v>
      </c>
      <c r="D81" s="282"/>
      <c r="E81" s="283"/>
      <c r="F81" s="283"/>
      <c r="G81" s="283"/>
      <c r="H81" s="283"/>
      <c r="I81" s="283"/>
      <c r="J81" s="283"/>
      <c r="K81" s="284"/>
      <c r="L81" s="285"/>
      <c r="M81" s="286"/>
      <c r="N81" s="286"/>
      <c r="O81" s="286"/>
      <c r="P81" s="286"/>
      <c r="Q81" s="287"/>
      <c r="R81" s="285"/>
      <c r="S81" s="286"/>
      <c r="T81" s="286"/>
      <c r="U81" s="287"/>
      <c r="V81" s="285"/>
      <c r="W81" s="286"/>
      <c r="X81" s="286"/>
      <c r="Y81" s="287"/>
      <c r="Z81" s="285"/>
      <c r="AA81" s="286"/>
      <c r="AB81" s="286"/>
      <c r="AC81" s="286"/>
      <c r="AD81" s="287"/>
      <c r="AE81" s="285"/>
      <c r="AF81" s="286"/>
      <c r="AG81" s="286"/>
      <c r="AH81" s="286"/>
      <c r="AI81" s="287"/>
      <c r="AJ81" s="285"/>
      <c r="AK81" s="286"/>
      <c r="AL81" s="286"/>
      <c r="AM81" s="286"/>
      <c r="AN81" s="287"/>
      <c r="AO81" s="285"/>
      <c r="AP81" s="286"/>
      <c r="AQ81" s="287"/>
      <c r="AR81" s="288">
        <f t="shared" si="1"/>
        <v>0</v>
      </c>
      <c r="AS81" s="395"/>
    </row>
    <row r="82" spans="1:45" ht="17.25" customHeight="1">
      <c r="A82" s="392">
        <v>34</v>
      </c>
      <c r="B82" s="393">
        <f>'A-RACHNATMAK'!B44</f>
        <v>0</v>
      </c>
      <c r="C82" s="273">
        <v>1</v>
      </c>
      <c r="D82" s="274"/>
      <c r="E82" s="275"/>
      <c r="F82" s="275"/>
      <c r="G82" s="275"/>
      <c r="H82" s="275"/>
      <c r="I82" s="275"/>
      <c r="J82" s="275"/>
      <c r="K82" s="276"/>
      <c r="L82" s="277"/>
      <c r="M82" s="278"/>
      <c r="N82" s="278"/>
      <c r="O82" s="278"/>
      <c r="P82" s="278"/>
      <c r="Q82" s="279"/>
      <c r="R82" s="277"/>
      <c r="S82" s="278"/>
      <c r="T82" s="278"/>
      <c r="U82" s="279"/>
      <c r="V82" s="277"/>
      <c r="W82" s="278"/>
      <c r="X82" s="278"/>
      <c r="Y82" s="279"/>
      <c r="Z82" s="277"/>
      <c r="AA82" s="278"/>
      <c r="AB82" s="278"/>
      <c r="AC82" s="278"/>
      <c r="AD82" s="279"/>
      <c r="AE82" s="277"/>
      <c r="AF82" s="278"/>
      <c r="AG82" s="278"/>
      <c r="AH82" s="278"/>
      <c r="AI82" s="279"/>
      <c r="AJ82" s="277"/>
      <c r="AK82" s="278"/>
      <c r="AL82" s="278"/>
      <c r="AM82" s="278"/>
      <c r="AN82" s="279"/>
      <c r="AO82" s="277"/>
      <c r="AP82" s="278"/>
      <c r="AQ82" s="279"/>
      <c r="AR82" s="280">
        <f t="shared" si="1"/>
        <v>0</v>
      </c>
      <c r="AS82" s="394">
        <f>ROUND((AR82+AR83)/2,0)</f>
        <v>0</v>
      </c>
    </row>
    <row r="83" spans="1:45" ht="17.25" customHeight="1">
      <c r="A83" s="392"/>
      <c r="B83" s="393"/>
      <c r="C83" s="281">
        <v>2</v>
      </c>
      <c r="D83" s="282"/>
      <c r="E83" s="283"/>
      <c r="F83" s="283"/>
      <c r="G83" s="283"/>
      <c r="H83" s="283"/>
      <c r="I83" s="283"/>
      <c r="J83" s="283"/>
      <c r="K83" s="284"/>
      <c r="L83" s="285"/>
      <c r="M83" s="286"/>
      <c r="N83" s="286"/>
      <c r="O83" s="286"/>
      <c r="P83" s="286"/>
      <c r="Q83" s="287"/>
      <c r="R83" s="285"/>
      <c r="S83" s="286"/>
      <c r="T83" s="286"/>
      <c r="U83" s="287"/>
      <c r="V83" s="285"/>
      <c r="W83" s="286"/>
      <c r="X83" s="286"/>
      <c r="Y83" s="287"/>
      <c r="Z83" s="285"/>
      <c r="AA83" s="286"/>
      <c r="AB83" s="286"/>
      <c r="AC83" s="286"/>
      <c r="AD83" s="287"/>
      <c r="AE83" s="285"/>
      <c r="AF83" s="286"/>
      <c r="AG83" s="286"/>
      <c r="AH83" s="286"/>
      <c r="AI83" s="287"/>
      <c r="AJ83" s="285"/>
      <c r="AK83" s="286"/>
      <c r="AL83" s="286"/>
      <c r="AM83" s="286"/>
      <c r="AN83" s="287"/>
      <c r="AO83" s="285"/>
      <c r="AP83" s="286"/>
      <c r="AQ83" s="287"/>
      <c r="AR83" s="288">
        <f t="shared" si="1"/>
        <v>0</v>
      </c>
      <c r="AS83" s="395"/>
    </row>
    <row r="84" spans="1:45" ht="17.25" customHeight="1">
      <c r="A84" s="392">
        <v>35</v>
      </c>
      <c r="B84" s="393">
        <f>'A-RACHNATMAK'!B45</f>
        <v>0</v>
      </c>
      <c r="C84" s="273">
        <v>1</v>
      </c>
      <c r="D84" s="274"/>
      <c r="E84" s="275"/>
      <c r="F84" s="275"/>
      <c r="G84" s="275"/>
      <c r="H84" s="275"/>
      <c r="I84" s="275"/>
      <c r="J84" s="275"/>
      <c r="K84" s="276"/>
      <c r="L84" s="277"/>
      <c r="M84" s="278"/>
      <c r="N84" s="278"/>
      <c r="O84" s="278"/>
      <c r="P84" s="278"/>
      <c r="Q84" s="279"/>
      <c r="R84" s="277"/>
      <c r="S84" s="278"/>
      <c r="T84" s="278"/>
      <c r="U84" s="279"/>
      <c r="V84" s="277"/>
      <c r="W84" s="278"/>
      <c r="X84" s="278"/>
      <c r="Y84" s="279"/>
      <c r="Z84" s="277"/>
      <c r="AA84" s="278"/>
      <c r="AB84" s="278"/>
      <c r="AC84" s="278"/>
      <c r="AD84" s="279"/>
      <c r="AE84" s="277"/>
      <c r="AF84" s="278"/>
      <c r="AG84" s="278"/>
      <c r="AH84" s="278"/>
      <c r="AI84" s="279"/>
      <c r="AJ84" s="277"/>
      <c r="AK84" s="278"/>
      <c r="AL84" s="278"/>
      <c r="AM84" s="278"/>
      <c r="AN84" s="279"/>
      <c r="AO84" s="277"/>
      <c r="AP84" s="278"/>
      <c r="AQ84" s="279"/>
      <c r="AR84" s="280">
        <f t="shared" si="1"/>
        <v>0</v>
      </c>
      <c r="AS84" s="394">
        <f>ROUND((AR84+AR85)/2,0)</f>
        <v>0</v>
      </c>
    </row>
    <row r="85" spans="1:45" ht="17.25" customHeight="1">
      <c r="A85" s="392"/>
      <c r="B85" s="396"/>
      <c r="C85" s="281">
        <v>2</v>
      </c>
      <c r="D85" s="282"/>
      <c r="E85" s="283"/>
      <c r="F85" s="283"/>
      <c r="G85" s="283"/>
      <c r="H85" s="283"/>
      <c r="I85" s="283"/>
      <c r="J85" s="283"/>
      <c r="K85" s="284"/>
      <c r="L85" s="285"/>
      <c r="M85" s="286"/>
      <c r="N85" s="286"/>
      <c r="O85" s="286"/>
      <c r="P85" s="286"/>
      <c r="Q85" s="287"/>
      <c r="R85" s="285"/>
      <c r="S85" s="286"/>
      <c r="T85" s="286"/>
      <c r="U85" s="287"/>
      <c r="V85" s="285"/>
      <c r="W85" s="286"/>
      <c r="X85" s="286"/>
      <c r="Y85" s="287"/>
      <c r="Z85" s="285"/>
      <c r="AA85" s="286"/>
      <c r="AB85" s="286"/>
      <c r="AC85" s="286"/>
      <c r="AD85" s="287"/>
      <c r="AE85" s="285"/>
      <c r="AF85" s="286"/>
      <c r="AG85" s="286"/>
      <c r="AH85" s="286"/>
      <c r="AI85" s="287"/>
      <c r="AJ85" s="285"/>
      <c r="AK85" s="286"/>
      <c r="AL85" s="286"/>
      <c r="AM85" s="286"/>
      <c r="AN85" s="287"/>
      <c r="AO85" s="285"/>
      <c r="AP85" s="286"/>
      <c r="AQ85" s="287"/>
      <c r="AR85" s="288">
        <f t="shared" si="1"/>
        <v>0</v>
      </c>
      <c r="AS85" s="395"/>
    </row>
  </sheetData>
  <sheetProtection password="CCF1" sheet="1" objects="1" scenarios="1"/>
  <mergeCells count="163">
    <mergeCell ref="V1:AS1"/>
    <mergeCell ref="B46:U46"/>
    <mergeCell ref="V45:AS45"/>
    <mergeCell ref="D5:K5"/>
    <mergeCell ref="D6:K6"/>
    <mergeCell ref="L5:Q5"/>
    <mergeCell ref="L6:Q6"/>
    <mergeCell ref="R5:AI5"/>
    <mergeCell ref="B2:U2"/>
    <mergeCell ref="V2:AS2"/>
    <mergeCell ref="AJ6:AN6"/>
    <mergeCell ref="AO6:AQ6"/>
    <mergeCell ref="AJ5:AQ5"/>
    <mergeCell ref="AR5:AS6"/>
    <mergeCell ref="R6:U6"/>
    <mergeCell ref="V6:Y6"/>
    <mergeCell ref="Z6:AD6"/>
    <mergeCell ref="AE6:AI6"/>
    <mergeCell ref="P3:S3"/>
    <mergeCell ref="B5:B7"/>
    <mergeCell ref="C5:C7"/>
    <mergeCell ref="AS8:AS9"/>
    <mergeCell ref="AS10:AS11"/>
    <mergeCell ref="AS20:AS21"/>
    <mergeCell ref="A8:A9"/>
    <mergeCell ref="B8:B9"/>
    <mergeCell ref="A10:A11"/>
    <mergeCell ref="A12:A13"/>
    <mergeCell ref="A34:A35"/>
    <mergeCell ref="A36:A37"/>
    <mergeCell ref="A14:A15"/>
    <mergeCell ref="A16:A17"/>
    <mergeCell ref="A18:A19"/>
    <mergeCell ref="A20:A21"/>
    <mergeCell ref="A22:A23"/>
    <mergeCell ref="A24:A25"/>
    <mergeCell ref="B22:B23"/>
    <mergeCell ref="A26:A27"/>
    <mergeCell ref="A28:A29"/>
    <mergeCell ref="A30:A31"/>
    <mergeCell ref="A32:A33"/>
    <mergeCell ref="B32:B33"/>
    <mergeCell ref="B34:B35"/>
    <mergeCell ref="A38:A39"/>
    <mergeCell ref="A40:A41"/>
    <mergeCell ref="A42:A43"/>
    <mergeCell ref="B10:B11"/>
    <mergeCell ref="B12:B13"/>
    <mergeCell ref="B14:B15"/>
    <mergeCell ref="B16:B17"/>
    <mergeCell ref="B18:B19"/>
    <mergeCell ref="B20:B21"/>
    <mergeCell ref="B36:B37"/>
    <mergeCell ref="B38:B39"/>
    <mergeCell ref="B40:B41"/>
    <mergeCell ref="B42:B43"/>
    <mergeCell ref="B24:B25"/>
    <mergeCell ref="B26:B27"/>
    <mergeCell ref="B28:B29"/>
    <mergeCell ref="B30:B31"/>
    <mergeCell ref="AS22:AS23"/>
    <mergeCell ref="AS24:AS25"/>
    <mergeCell ref="AS26:AS27"/>
    <mergeCell ref="AS28:AS29"/>
    <mergeCell ref="AS30:AS31"/>
    <mergeCell ref="AS52:AS53"/>
    <mergeCell ref="AS54:AS55"/>
    <mergeCell ref="AR49:AS50"/>
    <mergeCell ref="AS32:AS33"/>
    <mergeCell ref="AS34:AS35"/>
    <mergeCell ref="AS36:AS37"/>
    <mergeCell ref="AS38:AS39"/>
    <mergeCell ref="AS40:AS41"/>
    <mergeCell ref="AS42:AS43"/>
    <mergeCell ref="AS56:AS57"/>
    <mergeCell ref="AS58:AS59"/>
    <mergeCell ref="AS60:AS61"/>
    <mergeCell ref="AS62:AS63"/>
    <mergeCell ref="AS64:AS65"/>
    <mergeCell ref="AS66:AS67"/>
    <mergeCell ref="AS68:AS69"/>
    <mergeCell ref="AS70:AS71"/>
    <mergeCell ref="B1:U1"/>
    <mergeCell ref="AS12:AS13"/>
    <mergeCell ref="AS14:AS15"/>
    <mergeCell ref="AS16:AS17"/>
    <mergeCell ref="AS18:AS19"/>
    <mergeCell ref="F3:G3"/>
    <mergeCell ref="H3:I3"/>
    <mergeCell ref="N3:O3"/>
    <mergeCell ref="AD3:AE3"/>
    <mergeCell ref="AF3:AG3"/>
    <mergeCell ref="AJ3:AK3"/>
    <mergeCell ref="Z3:AA3"/>
    <mergeCell ref="V3:Y3"/>
    <mergeCell ref="AL3:AO3"/>
    <mergeCell ref="B45:U45"/>
    <mergeCell ref="F47:G47"/>
    <mergeCell ref="H47:I47"/>
    <mergeCell ref="N47:O47"/>
    <mergeCell ref="P47:S47"/>
    <mergeCell ref="V47:Y47"/>
    <mergeCell ref="V46:AS46"/>
    <mergeCell ref="Z47:AA47"/>
    <mergeCell ref="AD47:AE47"/>
    <mergeCell ref="B49:B51"/>
    <mergeCell ref="C49:C51"/>
    <mergeCell ref="D49:K49"/>
    <mergeCell ref="L49:Q49"/>
    <mergeCell ref="R49:AI49"/>
    <mergeCell ref="R50:U50"/>
    <mergeCell ref="V50:Y50"/>
    <mergeCell ref="AJ49:AQ49"/>
    <mergeCell ref="D50:K50"/>
    <mergeCell ref="Z50:AD50"/>
    <mergeCell ref="AE50:AI50"/>
    <mergeCell ref="AJ50:AN50"/>
    <mergeCell ref="AF47:AG47"/>
    <mergeCell ref="AJ47:AK47"/>
    <mergeCell ref="AL47:AO47"/>
    <mergeCell ref="AO50:AQ50"/>
    <mergeCell ref="L50:Q50"/>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66:A67"/>
    <mergeCell ref="B66:B67"/>
    <mergeCell ref="A68:A69"/>
    <mergeCell ref="B68:B69"/>
    <mergeCell ref="A70:A71"/>
    <mergeCell ref="B70:B71"/>
    <mergeCell ref="A72:A73"/>
    <mergeCell ref="B72:B73"/>
    <mergeCell ref="AS72:AS73"/>
    <mergeCell ref="A74:A75"/>
    <mergeCell ref="B74:B75"/>
    <mergeCell ref="AS74:AS75"/>
    <mergeCell ref="A76:A77"/>
    <mergeCell ref="B76:B77"/>
    <mergeCell ref="AS76:AS77"/>
    <mergeCell ref="A78:A79"/>
    <mergeCell ref="B78:B79"/>
    <mergeCell ref="AS78:AS79"/>
    <mergeCell ref="A84:A85"/>
    <mergeCell ref="B84:B85"/>
    <mergeCell ref="AS84:AS85"/>
    <mergeCell ref="A80:A81"/>
    <mergeCell ref="B80:B81"/>
    <mergeCell ref="AS80:AS81"/>
    <mergeCell ref="A82:A83"/>
    <mergeCell ref="B82:B83"/>
    <mergeCell ref="AS82:AS83"/>
  </mergeCells>
  <conditionalFormatting sqref="B8:B43 B52:B85">
    <cfRule type="cellIs" dxfId="4" priority="2" operator="equal">
      <formula>0</formula>
    </cfRule>
  </conditionalFormatting>
  <dataValidations disablePrompts="1" count="1">
    <dataValidation type="whole" allowBlank="1" showInputMessage="1" showErrorMessage="1" errorTitle="સૂચના" error="આ ખાનામાં 0 થી 10 સુધીની સંખ્યા ઉમેરો..." sqref="D8:AQ43 D52:AQ85">
      <formula1>0</formula1>
      <formula2>10</formula2>
    </dataValidation>
  </dataValidations>
  <hyperlinks>
    <hyperlink ref="A1" location="BPAGE2" display="V"/>
    <hyperlink ref="A45" location="BPAGE1" display="^"/>
  </hyperlinks>
  <pageMargins left="0.78740157480314965" right="0.70866141732283472" top="0.55118110236220474" bottom="0.74803149606299213" header="0.31496062992125984" footer="0.31496062992125984"/>
  <pageSetup paperSize="5" scale="97" pageOrder="overThenDown" orientation="portrait" horizontalDpi="4294967292" verticalDpi="300" r:id="rId1"/>
  <headerFooter>
    <oddFooter>&amp;Lવર્ગ શિક્ષકની સહી&amp;Rઆચાર્યની સહી</oddFooter>
  </headerFooter>
  <rowBreaks count="1" manualBreakCount="1">
    <brk id="43" max="16383" man="1"/>
  </rowBreaks>
  <colBreaks count="1" manualBreakCount="1">
    <brk id="21" max="1048575" man="1"/>
  </colBreaks>
</worksheet>
</file>

<file path=xl/worksheets/sheet6.xml><?xml version="1.0" encoding="utf-8"?>
<worksheet xmlns="http://schemas.openxmlformats.org/spreadsheetml/2006/main" xmlns:r="http://schemas.openxmlformats.org/officeDocument/2006/relationships">
  <sheetPr>
    <tabColor theme="5" tint="-0.249977111117893"/>
  </sheetPr>
  <dimension ref="A2:X37"/>
  <sheetViews>
    <sheetView showGridLines="0" tabSelected="1" view="pageBreakPreview" zoomScaleSheetLayoutView="100" workbookViewId="0">
      <selection activeCell="C3" sqref="C3:V3"/>
    </sheetView>
  </sheetViews>
  <sheetFormatPr defaultRowHeight="15"/>
  <cols>
    <col min="1" max="2" width="1.7109375" style="76" customWidth="1"/>
    <col min="3" max="3" width="8.140625" style="76" customWidth="1"/>
    <col min="4" max="21" width="3.85546875" style="76" customWidth="1"/>
    <col min="22" max="22" width="6.5703125" style="76" customWidth="1"/>
    <col min="23" max="23" width="1.85546875" style="76" customWidth="1"/>
    <col min="24" max="24" width="1.7109375" style="76" customWidth="1"/>
    <col min="25" max="16384" width="9.140625" style="76"/>
  </cols>
  <sheetData>
    <row r="2" spans="1:24" ht="21.75" thickBot="1">
      <c r="A2" s="85"/>
      <c r="B2" s="86"/>
      <c r="C2" s="86"/>
      <c r="D2" s="86"/>
      <c r="E2" s="86"/>
      <c r="F2" s="86"/>
      <c r="G2" s="87" t="s">
        <v>204</v>
      </c>
      <c r="H2" s="87"/>
      <c r="I2" s="87"/>
      <c r="J2" s="87"/>
      <c r="K2" s="87"/>
      <c r="L2" s="87"/>
      <c r="M2" s="87"/>
      <c r="N2" s="87"/>
      <c r="O2" s="87"/>
      <c r="P2" s="87"/>
      <c r="Q2" s="87"/>
      <c r="R2" s="87"/>
      <c r="S2" s="87"/>
      <c r="T2" s="87"/>
      <c r="U2" s="87"/>
      <c r="V2" s="87"/>
      <c r="W2" s="87"/>
      <c r="X2" s="88"/>
    </row>
    <row r="3" spans="1:24" ht="58.5" customHeight="1">
      <c r="A3" s="89"/>
      <c r="B3" s="98"/>
      <c r="C3" s="416" t="s">
        <v>221</v>
      </c>
      <c r="D3" s="416"/>
      <c r="E3" s="416"/>
      <c r="F3" s="416"/>
      <c r="G3" s="416"/>
      <c r="H3" s="416"/>
      <c r="I3" s="416"/>
      <c r="J3" s="416"/>
      <c r="K3" s="416"/>
      <c r="L3" s="416"/>
      <c r="M3" s="416"/>
      <c r="N3" s="416"/>
      <c r="O3" s="416"/>
      <c r="P3" s="416"/>
      <c r="Q3" s="416"/>
      <c r="R3" s="416"/>
      <c r="S3" s="416"/>
      <c r="T3" s="416"/>
      <c r="U3" s="416"/>
      <c r="V3" s="416"/>
      <c r="W3" s="99"/>
      <c r="X3" s="90"/>
    </row>
    <row r="4" spans="1:24" ht="62.25" customHeight="1">
      <c r="A4" s="91"/>
      <c r="B4" s="100"/>
      <c r="C4" s="417" t="s">
        <v>203</v>
      </c>
      <c r="D4" s="417"/>
      <c r="E4" s="417"/>
      <c r="F4" s="417"/>
      <c r="G4" s="417"/>
      <c r="H4" s="417"/>
      <c r="I4" s="417"/>
      <c r="J4" s="417"/>
      <c r="K4" s="417"/>
      <c r="L4" s="417"/>
      <c r="M4" s="417"/>
      <c r="N4" s="417"/>
      <c r="O4" s="417"/>
      <c r="P4" s="417"/>
      <c r="Q4" s="417"/>
      <c r="R4" s="417"/>
      <c r="S4" s="417"/>
      <c r="T4" s="417"/>
      <c r="U4" s="417"/>
      <c r="V4" s="417"/>
      <c r="W4" s="101"/>
      <c r="X4" s="90"/>
    </row>
    <row r="5" spans="1:24">
      <c r="A5" s="91"/>
      <c r="B5" s="100"/>
      <c r="C5" s="77"/>
      <c r="D5" s="77"/>
      <c r="E5" s="77"/>
      <c r="F5" s="77"/>
      <c r="G5" s="77"/>
      <c r="H5" s="77"/>
      <c r="I5" s="77"/>
      <c r="J5" s="77"/>
      <c r="K5" s="77"/>
      <c r="L5" s="77"/>
      <c r="M5" s="77"/>
      <c r="N5" s="77"/>
      <c r="O5" s="77"/>
      <c r="P5" s="77"/>
      <c r="Q5" s="77"/>
      <c r="R5" s="77"/>
      <c r="S5" s="77"/>
      <c r="T5" s="77"/>
      <c r="U5" s="77"/>
      <c r="V5" s="77"/>
      <c r="W5" s="102"/>
      <c r="X5" s="90"/>
    </row>
    <row r="6" spans="1:24">
      <c r="A6" s="91"/>
      <c r="B6" s="100"/>
      <c r="C6" s="77"/>
      <c r="D6" s="77"/>
      <c r="E6" s="77"/>
      <c r="F6" s="77"/>
      <c r="G6" s="77"/>
      <c r="H6" s="77"/>
      <c r="I6" s="77"/>
      <c r="J6" s="77"/>
      <c r="K6" s="77"/>
      <c r="L6" s="77"/>
      <c r="M6" s="77"/>
      <c r="N6" s="77"/>
      <c r="O6" s="77"/>
      <c r="P6" s="77"/>
      <c r="Q6" s="77"/>
      <c r="R6" s="77"/>
      <c r="S6" s="77"/>
      <c r="T6" s="77"/>
      <c r="U6" s="77"/>
      <c r="V6" s="77"/>
      <c r="W6" s="102"/>
      <c r="X6" s="90"/>
    </row>
    <row r="7" spans="1:24">
      <c r="A7" s="91"/>
      <c r="B7" s="100"/>
      <c r="C7" s="77"/>
      <c r="D7" s="77"/>
      <c r="E7" s="77"/>
      <c r="F7" s="77"/>
      <c r="G7" s="77"/>
      <c r="H7" s="77"/>
      <c r="I7" s="77"/>
      <c r="J7" s="77"/>
      <c r="K7" s="77"/>
      <c r="L7" s="77"/>
      <c r="M7" s="77"/>
      <c r="N7" s="77"/>
      <c r="O7" s="77"/>
      <c r="P7" s="77"/>
      <c r="Q7" s="77"/>
      <c r="R7" s="77"/>
      <c r="S7" s="77"/>
      <c r="T7" s="77"/>
      <c r="U7" s="77"/>
      <c r="V7" s="77"/>
      <c r="W7" s="102"/>
      <c r="X7" s="90"/>
    </row>
    <row r="8" spans="1:24">
      <c r="A8" s="91"/>
      <c r="B8" s="100"/>
      <c r="C8" s="77"/>
      <c r="D8" s="77"/>
      <c r="E8" s="77"/>
      <c r="F8" s="77"/>
      <c r="G8" s="77"/>
      <c r="H8" s="77"/>
      <c r="I8" s="77"/>
      <c r="J8" s="77"/>
      <c r="K8" s="77"/>
      <c r="L8" s="77"/>
      <c r="M8" s="77"/>
      <c r="N8" s="77"/>
      <c r="O8" s="77"/>
      <c r="P8" s="77"/>
      <c r="Q8" s="77"/>
      <c r="R8" s="77"/>
      <c r="S8" s="77"/>
      <c r="T8" s="77"/>
      <c r="U8" s="77"/>
      <c r="V8" s="77"/>
      <c r="W8" s="102"/>
      <c r="X8" s="90"/>
    </row>
    <row r="9" spans="1:24">
      <c r="A9" s="91"/>
      <c r="B9" s="100"/>
      <c r="C9" s="77"/>
      <c r="D9" s="77"/>
      <c r="E9" s="77"/>
      <c r="F9" s="77"/>
      <c r="G9" s="77"/>
      <c r="H9" s="77"/>
      <c r="I9" s="77"/>
      <c r="J9" s="77"/>
      <c r="K9" s="77"/>
      <c r="L9" s="77"/>
      <c r="M9" s="77"/>
      <c r="N9" s="77"/>
      <c r="O9" s="77"/>
      <c r="P9" s="77"/>
      <c r="Q9" s="77"/>
      <c r="R9" s="77"/>
      <c r="S9" s="77"/>
      <c r="T9" s="77"/>
      <c r="U9" s="77"/>
      <c r="V9" s="77"/>
      <c r="W9" s="102"/>
      <c r="X9" s="90"/>
    </row>
    <row r="10" spans="1:24">
      <c r="A10" s="91"/>
      <c r="B10" s="100"/>
      <c r="C10" s="77"/>
      <c r="D10" s="77"/>
      <c r="E10" s="77"/>
      <c r="F10" s="77"/>
      <c r="G10" s="77"/>
      <c r="H10" s="77"/>
      <c r="I10" s="77"/>
      <c r="J10" s="77"/>
      <c r="K10" s="77"/>
      <c r="L10" s="77"/>
      <c r="M10" s="77"/>
      <c r="N10" s="77"/>
      <c r="O10" s="77"/>
      <c r="P10" s="77"/>
      <c r="Q10" s="77"/>
      <c r="R10" s="77"/>
      <c r="S10" s="77"/>
      <c r="T10" s="77"/>
      <c r="U10" s="77"/>
      <c r="V10" s="77"/>
      <c r="W10" s="102"/>
      <c r="X10" s="90"/>
    </row>
    <row r="11" spans="1:24">
      <c r="A11" s="91"/>
      <c r="B11" s="100"/>
      <c r="C11" s="77"/>
      <c r="D11" s="77"/>
      <c r="E11" s="77"/>
      <c r="F11" s="77"/>
      <c r="G11" s="77"/>
      <c r="H11" s="77"/>
      <c r="I11" s="77"/>
      <c r="J11" s="77"/>
      <c r="K11" s="77"/>
      <c r="L11" s="77"/>
      <c r="M11" s="77"/>
      <c r="N11" s="77"/>
      <c r="O11" s="77"/>
      <c r="P11" s="77"/>
      <c r="Q11" s="77"/>
      <c r="R11" s="77"/>
      <c r="S11" s="77"/>
      <c r="T11" s="77"/>
      <c r="U11" s="77"/>
      <c r="V11" s="77"/>
      <c r="W11" s="102"/>
      <c r="X11" s="90"/>
    </row>
    <row r="12" spans="1:24">
      <c r="A12" s="91"/>
      <c r="B12" s="100"/>
      <c r="C12" s="77"/>
      <c r="D12" s="77"/>
      <c r="E12" s="77"/>
      <c r="F12" s="77"/>
      <c r="G12" s="77"/>
      <c r="H12" s="77"/>
      <c r="I12" s="77"/>
      <c r="J12" s="77"/>
      <c r="K12" s="77"/>
      <c r="L12" s="77"/>
      <c r="M12" s="77"/>
      <c r="N12" s="77"/>
      <c r="O12" s="77"/>
      <c r="P12" s="77"/>
      <c r="Q12" s="77"/>
      <c r="R12" s="77"/>
      <c r="S12" s="77"/>
      <c r="T12" s="77"/>
      <c r="U12" s="77"/>
      <c r="V12" s="77"/>
      <c r="W12" s="102"/>
      <c r="X12" s="90"/>
    </row>
    <row r="13" spans="1:24">
      <c r="A13" s="91"/>
      <c r="B13" s="100"/>
      <c r="C13" s="77"/>
      <c r="D13" s="77"/>
      <c r="E13" s="77"/>
      <c r="F13" s="77"/>
      <c r="G13" s="77"/>
      <c r="H13" s="77"/>
      <c r="I13" s="77"/>
      <c r="J13" s="77"/>
      <c r="K13" s="77"/>
      <c r="L13" s="77"/>
      <c r="M13" s="77"/>
      <c r="N13" s="77"/>
      <c r="O13" s="77"/>
      <c r="P13" s="77"/>
      <c r="Q13" s="77"/>
      <c r="R13" s="77"/>
      <c r="S13" s="77"/>
      <c r="T13" s="77"/>
      <c r="U13" s="77"/>
      <c r="V13" s="77"/>
      <c r="W13" s="102"/>
      <c r="X13" s="90"/>
    </row>
    <row r="14" spans="1:24" ht="19.5" customHeight="1">
      <c r="A14" s="91"/>
      <c r="B14" s="100"/>
      <c r="C14" s="92"/>
      <c r="D14" s="418" t="s">
        <v>202</v>
      </c>
      <c r="E14" s="419"/>
      <c r="F14" s="419"/>
      <c r="G14" s="419"/>
      <c r="H14" s="420" t="str">
        <f>SCHOOL!B2</f>
        <v>શ્રી બી.આર.આંબેડકર પ્રાથમિક શાળા</v>
      </c>
      <c r="I14" s="420"/>
      <c r="J14" s="420"/>
      <c r="K14" s="420"/>
      <c r="L14" s="420"/>
      <c r="M14" s="420"/>
      <c r="N14" s="420"/>
      <c r="O14" s="419" t="s">
        <v>201</v>
      </c>
      <c r="P14" s="419"/>
      <c r="Q14" s="419"/>
      <c r="R14" s="420" t="str">
        <f>SCHOOL!B3</f>
        <v>રાજકોટ</v>
      </c>
      <c r="S14" s="420"/>
      <c r="T14" s="420"/>
      <c r="U14" s="421"/>
      <c r="V14" s="92"/>
      <c r="W14" s="103"/>
      <c r="X14" s="90"/>
    </row>
    <row r="15" spans="1:24" ht="19.5" customHeight="1">
      <c r="A15" s="91"/>
      <c r="B15" s="100"/>
      <c r="C15" s="92"/>
      <c r="D15" s="422" t="s">
        <v>13</v>
      </c>
      <c r="E15" s="423"/>
      <c r="F15" s="423"/>
      <c r="G15" s="423"/>
      <c r="H15" s="424">
        <f>SCHOOL!D2</f>
        <v>6</v>
      </c>
      <c r="I15" s="424"/>
      <c r="J15" s="424"/>
      <c r="K15" s="424"/>
      <c r="L15" s="424"/>
      <c r="M15" s="424"/>
      <c r="N15" s="424"/>
      <c r="O15" s="423" t="s">
        <v>1</v>
      </c>
      <c r="P15" s="423"/>
      <c r="Q15" s="423"/>
      <c r="R15" s="425" t="str">
        <f>SCHOOL!B4</f>
        <v>રાજકોટ</v>
      </c>
      <c r="S15" s="425"/>
      <c r="T15" s="425"/>
      <c r="U15" s="426"/>
      <c r="V15" s="92"/>
      <c r="W15" s="104"/>
      <c r="X15" s="90"/>
    </row>
    <row r="16" spans="1:24" ht="19.5" customHeight="1">
      <c r="A16" s="91"/>
      <c r="B16" s="100"/>
      <c r="C16" s="92"/>
      <c r="D16" s="422" t="s">
        <v>200</v>
      </c>
      <c r="E16" s="423"/>
      <c r="F16" s="423"/>
      <c r="G16" s="423"/>
      <c r="H16" s="425" t="str">
        <f>SCHOOL!D4</f>
        <v>નરેશભાઇ કે. ઢાકેચા</v>
      </c>
      <c r="I16" s="425"/>
      <c r="J16" s="425"/>
      <c r="K16" s="425"/>
      <c r="L16" s="425"/>
      <c r="M16" s="425"/>
      <c r="N16" s="425"/>
      <c r="O16" s="423" t="s">
        <v>2</v>
      </c>
      <c r="P16" s="423"/>
      <c r="Q16" s="423"/>
      <c r="R16" s="425" t="str">
        <f>SCHOOL!B5</f>
        <v>રાજકોટ</v>
      </c>
      <c r="S16" s="425"/>
      <c r="T16" s="425"/>
      <c r="U16" s="426"/>
      <c r="V16" s="92"/>
      <c r="W16" s="104"/>
      <c r="X16" s="90"/>
    </row>
    <row r="17" spans="1:24" ht="19.5" customHeight="1">
      <c r="A17" s="91"/>
      <c r="B17" s="100"/>
      <c r="C17" s="92"/>
      <c r="D17" s="422" t="s">
        <v>199</v>
      </c>
      <c r="E17" s="423"/>
      <c r="F17" s="423"/>
      <c r="G17" s="423"/>
      <c r="H17" s="425" t="str">
        <f>SCHOOL!B8</f>
        <v>સી.આર.સી. નંબર-૪ રાજકોટ</v>
      </c>
      <c r="I17" s="425"/>
      <c r="J17" s="425"/>
      <c r="K17" s="425"/>
      <c r="L17" s="425"/>
      <c r="M17" s="425"/>
      <c r="N17" s="425"/>
      <c r="O17" s="423" t="s">
        <v>165</v>
      </c>
      <c r="P17" s="423"/>
      <c r="Q17" s="423"/>
      <c r="R17" s="425" t="str">
        <f>SCHOOL!D3</f>
        <v xml:space="preserve"> ---</v>
      </c>
      <c r="S17" s="425"/>
      <c r="T17" s="425"/>
      <c r="U17" s="426"/>
      <c r="V17" s="92"/>
      <c r="W17" s="104"/>
      <c r="X17" s="90"/>
    </row>
    <row r="18" spans="1:24" ht="19.5" customHeight="1">
      <c r="A18" s="91"/>
      <c r="B18" s="100"/>
      <c r="C18" s="92"/>
      <c r="D18" s="427" t="s">
        <v>198</v>
      </c>
      <c r="E18" s="428"/>
      <c r="F18" s="428"/>
      <c r="G18" s="428"/>
      <c r="H18" s="429" t="str">
        <f>SCHOOL!B9</f>
        <v>શાળા નંબર-૧૦ રાજકોટ</v>
      </c>
      <c r="I18" s="429"/>
      <c r="J18" s="429"/>
      <c r="K18" s="429"/>
      <c r="L18" s="429"/>
      <c r="M18" s="429"/>
      <c r="N18" s="429"/>
      <c r="O18" s="428" t="s">
        <v>197</v>
      </c>
      <c r="P18" s="428"/>
      <c r="Q18" s="428"/>
      <c r="R18" s="430">
        <f>SCHOOL!D6</f>
        <v>0</v>
      </c>
      <c r="S18" s="430"/>
      <c r="T18" s="430"/>
      <c r="U18" s="431"/>
      <c r="V18" s="92"/>
      <c r="W18" s="104"/>
      <c r="X18" s="90"/>
    </row>
    <row r="19" spans="1:24" ht="45" customHeight="1">
      <c r="A19" s="91"/>
      <c r="B19" s="100"/>
      <c r="C19" s="77"/>
      <c r="D19" s="77"/>
      <c r="E19" s="77"/>
      <c r="F19" s="77"/>
      <c r="G19" s="77"/>
      <c r="H19" s="77"/>
      <c r="I19" s="77"/>
      <c r="J19" s="77"/>
      <c r="K19" s="77"/>
      <c r="L19" s="77"/>
      <c r="M19" s="77"/>
      <c r="N19" s="77"/>
      <c r="O19" s="77"/>
      <c r="P19" s="77"/>
      <c r="Q19" s="77"/>
      <c r="R19" s="77"/>
      <c r="S19" s="77"/>
      <c r="T19" s="77"/>
      <c r="U19" s="77" t="s">
        <v>196</v>
      </c>
      <c r="V19" s="77"/>
      <c r="W19" s="102"/>
      <c r="X19" s="90"/>
    </row>
    <row r="20" spans="1:24" ht="34.5" customHeight="1">
      <c r="A20" s="93"/>
      <c r="B20" s="105"/>
      <c r="C20" s="432" t="s">
        <v>220</v>
      </c>
      <c r="D20" s="432"/>
      <c r="E20" s="432"/>
      <c r="F20" s="432"/>
      <c r="G20" s="432"/>
      <c r="H20" s="432"/>
      <c r="I20" s="432"/>
      <c r="J20" s="432"/>
      <c r="K20" s="432"/>
      <c r="L20" s="432"/>
      <c r="M20" s="432"/>
      <c r="N20" s="432"/>
      <c r="O20" s="432"/>
      <c r="P20" s="432"/>
      <c r="Q20" s="432"/>
      <c r="R20" s="432"/>
      <c r="S20" s="432"/>
      <c r="T20" s="432"/>
      <c r="U20" s="432"/>
      <c r="V20" s="432"/>
      <c r="W20" s="106"/>
      <c r="X20" s="94"/>
    </row>
    <row r="21" spans="1:24" ht="19.5" customHeight="1">
      <c r="A21" s="91"/>
      <c r="B21" s="100"/>
      <c r="C21" s="433" t="s">
        <v>36</v>
      </c>
      <c r="D21" s="434" t="s">
        <v>195</v>
      </c>
      <c r="E21" s="434"/>
      <c r="F21" s="434"/>
      <c r="G21" s="433" t="s">
        <v>194</v>
      </c>
      <c r="H21" s="433"/>
      <c r="I21" s="433"/>
      <c r="J21" s="433"/>
      <c r="K21" s="433"/>
      <c r="L21" s="433"/>
      <c r="M21" s="433"/>
      <c r="N21" s="433"/>
      <c r="O21" s="433"/>
      <c r="P21" s="433"/>
      <c r="Q21" s="433"/>
      <c r="R21" s="433"/>
      <c r="S21" s="433"/>
      <c r="T21" s="433"/>
      <c r="U21" s="433"/>
      <c r="V21" s="433" t="s">
        <v>16</v>
      </c>
      <c r="W21" s="107"/>
      <c r="X21" s="90"/>
    </row>
    <row r="22" spans="1:24" ht="19.5" customHeight="1">
      <c r="A22" s="91"/>
      <c r="B22" s="100"/>
      <c r="C22" s="433"/>
      <c r="D22" s="434"/>
      <c r="E22" s="434"/>
      <c r="F22" s="434"/>
      <c r="G22" s="435" t="s">
        <v>93</v>
      </c>
      <c r="H22" s="435"/>
      <c r="I22" s="435"/>
      <c r="J22" s="435" t="s">
        <v>193</v>
      </c>
      <c r="K22" s="435"/>
      <c r="L22" s="435"/>
      <c r="M22" s="435" t="s">
        <v>181</v>
      </c>
      <c r="N22" s="435"/>
      <c r="O22" s="435"/>
      <c r="P22" s="435" t="s">
        <v>192</v>
      </c>
      <c r="Q22" s="435"/>
      <c r="R22" s="435"/>
      <c r="S22" s="435" t="s">
        <v>191</v>
      </c>
      <c r="T22" s="435"/>
      <c r="U22" s="435"/>
      <c r="V22" s="433"/>
      <c r="W22" s="107"/>
      <c r="X22" s="90"/>
    </row>
    <row r="23" spans="1:24" ht="19.5" customHeight="1">
      <c r="A23" s="91"/>
      <c r="B23" s="100"/>
      <c r="C23" s="433"/>
      <c r="D23" s="78" t="s">
        <v>190</v>
      </c>
      <c r="E23" s="78" t="s">
        <v>189</v>
      </c>
      <c r="F23" s="79" t="s">
        <v>121</v>
      </c>
      <c r="G23" s="78" t="s">
        <v>190</v>
      </c>
      <c r="H23" s="78" t="s">
        <v>189</v>
      </c>
      <c r="I23" s="79" t="s">
        <v>121</v>
      </c>
      <c r="J23" s="78" t="s">
        <v>190</v>
      </c>
      <c r="K23" s="78" t="s">
        <v>189</v>
      </c>
      <c r="L23" s="79" t="s">
        <v>121</v>
      </c>
      <c r="M23" s="78" t="s">
        <v>190</v>
      </c>
      <c r="N23" s="78" t="s">
        <v>189</v>
      </c>
      <c r="O23" s="79" t="s">
        <v>121</v>
      </c>
      <c r="P23" s="78" t="s">
        <v>190</v>
      </c>
      <c r="Q23" s="78" t="s">
        <v>189</v>
      </c>
      <c r="R23" s="79" t="s">
        <v>121</v>
      </c>
      <c r="S23" s="78" t="s">
        <v>190</v>
      </c>
      <c r="T23" s="78" t="s">
        <v>189</v>
      </c>
      <c r="U23" s="79" t="s">
        <v>121</v>
      </c>
      <c r="V23" s="433"/>
      <c r="W23" s="107"/>
      <c r="X23" s="90"/>
    </row>
    <row r="24" spans="1:24" ht="19.5" customHeight="1">
      <c r="A24" s="91"/>
      <c r="B24" s="100"/>
      <c r="C24" s="80" t="s">
        <v>188</v>
      </c>
      <c r="D24" s="72">
        <v>2</v>
      </c>
      <c r="E24" s="72">
        <v>1</v>
      </c>
      <c r="F24" s="73">
        <f>SUM(D24:E24)</f>
        <v>3</v>
      </c>
      <c r="G24" s="72">
        <v>0</v>
      </c>
      <c r="H24" s="72">
        <v>0</v>
      </c>
      <c r="I24" s="73">
        <f>SUM(G24:H24)</f>
        <v>0</v>
      </c>
      <c r="J24" s="72">
        <v>0</v>
      </c>
      <c r="K24" s="72">
        <v>1</v>
      </c>
      <c r="L24" s="73">
        <f>SUM(J24:K24)</f>
        <v>1</v>
      </c>
      <c r="M24" s="72">
        <v>2</v>
      </c>
      <c r="N24" s="72">
        <v>0</v>
      </c>
      <c r="O24" s="73">
        <f>SUM(M24:N24)</f>
        <v>2</v>
      </c>
      <c r="P24" s="72">
        <v>0</v>
      </c>
      <c r="Q24" s="72">
        <v>0</v>
      </c>
      <c r="R24" s="73">
        <f>SUM(P24:Q24)</f>
        <v>0</v>
      </c>
      <c r="S24" s="72">
        <v>0</v>
      </c>
      <c r="T24" s="72">
        <v>0</v>
      </c>
      <c r="U24" s="73">
        <f>SUM(S24:T24)</f>
        <v>0</v>
      </c>
      <c r="V24" s="81"/>
      <c r="W24" s="108"/>
      <c r="X24" s="90"/>
    </row>
    <row r="25" spans="1:24" ht="19.5" customHeight="1">
      <c r="A25" s="91"/>
      <c r="B25" s="100"/>
      <c r="C25" s="80" t="s">
        <v>187</v>
      </c>
      <c r="D25" s="72">
        <v>0</v>
      </c>
      <c r="E25" s="72">
        <v>0</v>
      </c>
      <c r="F25" s="73">
        <f>SUM(D25:E25)</f>
        <v>0</v>
      </c>
      <c r="G25" s="72">
        <v>0</v>
      </c>
      <c r="H25" s="72">
        <v>0</v>
      </c>
      <c r="I25" s="73">
        <f>SUM(G25:H25)</f>
        <v>0</v>
      </c>
      <c r="J25" s="72">
        <v>0</v>
      </c>
      <c r="K25" s="72">
        <v>0</v>
      </c>
      <c r="L25" s="73">
        <f>SUM(J25:K25)</f>
        <v>0</v>
      </c>
      <c r="M25" s="72">
        <v>0</v>
      </c>
      <c r="N25" s="72">
        <v>0</v>
      </c>
      <c r="O25" s="73">
        <f>SUM(M25:N25)</f>
        <v>0</v>
      </c>
      <c r="P25" s="72">
        <v>0</v>
      </c>
      <c r="Q25" s="72">
        <v>0</v>
      </c>
      <c r="R25" s="73">
        <f>SUM(P25:Q25)</f>
        <v>0</v>
      </c>
      <c r="S25" s="72">
        <v>0</v>
      </c>
      <c r="T25" s="72">
        <v>0</v>
      </c>
      <c r="U25" s="73">
        <f>SUM(S25:T25)</f>
        <v>0</v>
      </c>
      <c r="V25" s="81"/>
      <c r="W25" s="108"/>
      <c r="X25" s="90"/>
    </row>
    <row r="26" spans="1:24" ht="19.5" customHeight="1">
      <c r="A26" s="91"/>
      <c r="B26" s="100"/>
      <c r="C26" s="80" t="s">
        <v>186</v>
      </c>
      <c r="D26" s="72">
        <v>23</v>
      </c>
      <c r="E26" s="72">
        <v>13</v>
      </c>
      <c r="F26" s="73">
        <f>SUM(D26:E26)</f>
        <v>36</v>
      </c>
      <c r="G26" s="72">
        <v>4</v>
      </c>
      <c r="H26" s="72">
        <v>1</v>
      </c>
      <c r="I26" s="73">
        <f>SUM(G26:H26)</f>
        <v>5</v>
      </c>
      <c r="J26" s="72">
        <v>6</v>
      </c>
      <c r="K26" s="72">
        <v>6</v>
      </c>
      <c r="L26" s="73">
        <f>SUM(J26:K26)</f>
        <v>12</v>
      </c>
      <c r="M26" s="72">
        <v>13</v>
      </c>
      <c r="N26" s="72">
        <v>6</v>
      </c>
      <c r="O26" s="73">
        <f>SUM(M26:N26)</f>
        <v>19</v>
      </c>
      <c r="P26" s="72">
        <v>0</v>
      </c>
      <c r="Q26" s="72">
        <v>0</v>
      </c>
      <c r="R26" s="73">
        <f>SUM(P26:Q26)</f>
        <v>0</v>
      </c>
      <c r="S26" s="72">
        <v>0</v>
      </c>
      <c r="T26" s="72">
        <v>0</v>
      </c>
      <c r="U26" s="73">
        <f>SUM(S26:T26)</f>
        <v>0</v>
      </c>
      <c r="V26" s="81"/>
      <c r="W26" s="108"/>
      <c r="X26" s="90"/>
    </row>
    <row r="27" spans="1:24" ht="19.5" customHeight="1">
      <c r="A27" s="91"/>
      <c r="B27" s="100"/>
      <c r="C27" s="80" t="s">
        <v>185</v>
      </c>
      <c r="D27" s="72">
        <v>2</v>
      </c>
      <c r="E27" s="72">
        <v>3</v>
      </c>
      <c r="F27" s="73">
        <f>SUM(D27:E27)</f>
        <v>5</v>
      </c>
      <c r="G27" s="72">
        <v>2</v>
      </c>
      <c r="H27" s="72">
        <v>1</v>
      </c>
      <c r="I27" s="73">
        <f>SUM(G27:H27)</f>
        <v>3</v>
      </c>
      <c r="J27" s="72">
        <v>0</v>
      </c>
      <c r="K27" s="72">
        <v>2</v>
      </c>
      <c r="L27" s="73">
        <f>SUM(J27:K27)</f>
        <v>2</v>
      </c>
      <c r="M27" s="72">
        <v>0</v>
      </c>
      <c r="N27" s="72">
        <v>0</v>
      </c>
      <c r="O27" s="73">
        <f>SUM(M27:N27)</f>
        <v>0</v>
      </c>
      <c r="P27" s="72">
        <v>0</v>
      </c>
      <c r="Q27" s="72">
        <v>0</v>
      </c>
      <c r="R27" s="73">
        <f>SUM(P27:Q27)</f>
        <v>0</v>
      </c>
      <c r="S27" s="72">
        <v>0</v>
      </c>
      <c r="T27" s="72">
        <v>0</v>
      </c>
      <c r="U27" s="73">
        <f>SUM(S27:T27)</f>
        <v>0</v>
      </c>
      <c r="V27" s="81"/>
      <c r="W27" s="108"/>
      <c r="X27" s="90"/>
    </row>
    <row r="28" spans="1:24" ht="19.5" customHeight="1">
      <c r="A28" s="91"/>
      <c r="B28" s="100"/>
      <c r="C28" s="82" t="s">
        <v>121</v>
      </c>
      <c r="D28" s="74">
        <f t="shared" ref="D28:U28" si="0">SUM(D24:D27)</f>
        <v>27</v>
      </c>
      <c r="E28" s="74">
        <f t="shared" si="0"/>
        <v>17</v>
      </c>
      <c r="F28" s="75">
        <f t="shared" si="0"/>
        <v>44</v>
      </c>
      <c r="G28" s="74">
        <f t="shared" si="0"/>
        <v>6</v>
      </c>
      <c r="H28" s="74">
        <f t="shared" si="0"/>
        <v>2</v>
      </c>
      <c r="I28" s="75">
        <f t="shared" si="0"/>
        <v>8</v>
      </c>
      <c r="J28" s="74">
        <f t="shared" si="0"/>
        <v>6</v>
      </c>
      <c r="K28" s="74">
        <f t="shared" si="0"/>
        <v>9</v>
      </c>
      <c r="L28" s="75">
        <f t="shared" si="0"/>
        <v>15</v>
      </c>
      <c r="M28" s="74">
        <f t="shared" si="0"/>
        <v>15</v>
      </c>
      <c r="N28" s="74">
        <f t="shared" si="0"/>
        <v>6</v>
      </c>
      <c r="O28" s="75">
        <f t="shared" si="0"/>
        <v>21</v>
      </c>
      <c r="P28" s="74">
        <f t="shared" si="0"/>
        <v>0</v>
      </c>
      <c r="Q28" s="74">
        <f t="shared" si="0"/>
        <v>0</v>
      </c>
      <c r="R28" s="75">
        <f t="shared" si="0"/>
        <v>0</v>
      </c>
      <c r="S28" s="74">
        <f t="shared" si="0"/>
        <v>0</v>
      </c>
      <c r="T28" s="74">
        <f t="shared" si="0"/>
        <v>0</v>
      </c>
      <c r="U28" s="75">
        <f t="shared" si="0"/>
        <v>0</v>
      </c>
      <c r="V28" s="81"/>
      <c r="W28" s="109"/>
      <c r="X28" s="90"/>
    </row>
    <row r="29" spans="1:24" ht="52.5" customHeight="1">
      <c r="A29" s="91"/>
      <c r="B29" s="100"/>
      <c r="C29" s="77"/>
      <c r="D29" s="77"/>
      <c r="E29" s="77"/>
      <c r="F29" s="77"/>
      <c r="G29" s="77"/>
      <c r="H29" s="77"/>
      <c r="I29" s="77"/>
      <c r="J29" s="77"/>
      <c r="K29" s="77"/>
      <c r="L29" s="77"/>
      <c r="M29" s="77"/>
      <c r="N29" s="77"/>
      <c r="O29" s="77"/>
      <c r="P29" s="77"/>
      <c r="Q29" s="77"/>
      <c r="R29" s="77"/>
      <c r="S29" s="77"/>
      <c r="T29" s="77"/>
      <c r="U29" s="77"/>
      <c r="V29" s="77"/>
      <c r="W29" s="102"/>
      <c r="X29" s="90"/>
    </row>
    <row r="30" spans="1:24" ht="120.75" customHeight="1">
      <c r="A30" s="91"/>
      <c r="B30" s="100"/>
      <c r="C30" s="77"/>
      <c r="D30" s="83"/>
      <c r="E30" s="77"/>
      <c r="F30" s="77"/>
      <c r="G30" s="77"/>
      <c r="H30" s="77"/>
      <c r="I30" s="77"/>
      <c r="J30" s="77"/>
      <c r="K30" s="77"/>
      <c r="L30" s="77"/>
      <c r="M30" s="77"/>
      <c r="N30" s="77"/>
      <c r="O30" s="77"/>
      <c r="P30" s="77"/>
      <c r="Q30" s="77"/>
      <c r="R30" s="77"/>
      <c r="S30" s="77"/>
      <c r="T30" s="77"/>
      <c r="U30" s="77"/>
      <c r="V30" s="77"/>
      <c r="W30" s="102"/>
      <c r="X30" s="90"/>
    </row>
    <row r="31" spans="1:24" ht="15.75">
      <c r="A31" s="91"/>
      <c r="B31" s="100"/>
      <c r="C31" s="77"/>
      <c r="D31" s="77"/>
      <c r="E31" s="77"/>
      <c r="F31" s="77"/>
      <c r="G31" s="77"/>
      <c r="H31" s="77"/>
      <c r="I31" s="77"/>
      <c r="J31" s="77"/>
      <c r="K31" s="436" t="s">
        <v>184</v>
      </c>
      <c r="L31" s="436"/>
      <c r="M31" s="436"/>
      <c r="N31" s="436"/>
      <c r="O31" s="77"/>
      <c r="P31" s="77"/>
      <c r="Q31" s="77"/>
      <c r="R31" s="77"/>
      <c r="S31" s="77"/>
      <c r="T31" s="77"/>
      <c r="U31" s="77"/>
      <c r="V31" s="77"/>
      <c r="W31" s="102"/>
      <c r="X31" s="90"/>
    </row>
    <row r="32" spans="1:24" ht="16.5">
      <c r="A32" s="91"/>
      <c r="B32" s="100"/>
      <c r="C32" s="77"/>
      <c r="D32" s="77"/>
      <c r="E32" s="436" t="s">
        <v>183</v>
      </c>
      <c r="F32" s="436"/>
      <c r="G32" s="436"/>
      <c r="H32" s="436"/>
      <c r="I32" s="77"/>
      <c r="J32" s="83"/>
      <c r="K32" s="83"/>
      <c r="L32" s="77"/>
      <c r="M32" s="77"/>
      <c r="N32" s="77"/>
      <c r="O32" s="77"/>
      <c r="P32" s="77"/>
      <c r="Q32" s="436" t="s">
        <v>182</v>
      </c>
      <c r="R32" s="436"/>
      <c r="S32" s="436"/>
      <c r="T32" s="436"/>
      <c r="U32" s="77"/>
      <c r="V32" s="77"/>
      <c r="W32" s="102"/>
      <c r="X32" s="90"/>
    </row>
    <row r="33" spans="1:24" ht="16.5">
      <c r="A33" s="91"/>
      <c r="B33" s="100"/>
      <c r="C33" s="77"/>
      <c r="D33" s="77"/>
      <c r="E33" s="437"/>
      <c r="F33" s="437"/>
      <c r="G33" s="437"/>
      <c r="H33" s="437"/>
      <c r="I33" s="77"/>
      <c r="J33" s="77"/>
      <c r="K33" s="77"/>
      <c r="L33" s="77"/>
      <c r="M33" s="77"/>
      <c r="N33" s="77"/>
      <c r="O33" s="77"/>
      <c r="P33" s="77"/>
      <c r="Q33" s="438"/>
      <c r="R33" s="438"/>
      <c r="S33" s="438"/>
      <c r="T33" s="438"/>
      <c r="U33" s="77"/>
      <c r="V33" s="77"/>
      <c r="W33" s="102"/>
      <c r="X33" s="90"/>
    </row>
    <row r="34" spans="1:24">
      <c r="A34" s="91"/>
      <c r="B34" s="100"/>
      <c r="C34" s="77"/>
      <c r="D34" s="77"/>
      <c r="E34" s="77"/>
      <c r="F34" s="77"/>
      <c r="G34" s="77"/>
      <c r="H34" s="77"/>
      <c r="I34" s="77"/>
      <c r="J34" s="77"/>
      <c r="K34" s="77"/>
      <c r="L34" s="77"/>
      <c r="M34" s="77"/>
      <c r="N34" s="77"/>
      <c r="O34" s="77"/>
      <c r="P34" s="77"/>
      <c r="Q34" s="77"/>
      <c r="R34" s="77"/>
      <c r="S34" s="77"/>
      <c r="T34" s="77"/>
      <c r="U34" s="77"/>
      <c r="V34" s="77"/>
      <c r="W34" s="102"/>
      <c r="X34" s="90"/>
    </row>
    <row r="35" spans="1:24" ht="15.75" thickBot="1">
      <c r="A35" s="91"/>
      <c r="B35" s="110"/>
      <c r="C35" s="111"/>
      <c r="D35" s="111"/>
      <c r="E35" s="111"/>
      <c r="F35" s="111"/>
      <c r="G35" s="111"/>
      <c r="H35" s="111"/>
      <c r="I35" s="111"/>
      <c r="J35" s="111"/>
      <c r="K35" s="111"/>
      <c r="L35" s="111"/>
      <c r="M35" s="111"/>
      <c r="N35" s="111"/>
      <c r="O35" s="111"/>
      <c r="P35" s="111"/>
      <c r="Q35" s="111"/>
      <c r="R35" s="111"/>
      <c r="S35" s="111"/>
      <c r="T35" s="111"/>
      <c r="U35" s="111"/>
      <c r="V35" s="111"/>
      <c r="W35" s="112"/>
      <c r="X35" s="90"/>
    </row>
    <row r="36" spans="1:24">
      <c r="A36" s="95"/>
      <c r="B36" s="96"/>
      <c r="C36" s="96"/>
      <c r="D36" s="96"/>
      <c r="E36" s="96"/>
      <c r="F36" s="96"/>
      <c r="G36" s="96"/>
      <c r="H36" s="96"/>
      <c r="I36" s="96"/>
      <c r="J36" s="96"/>
      <c r="K36" s="96"/>
      <c r="L36" s="96"/>
      <c r="M36" s="96"/>
      <c r="N36" s="96"/>
      <c r="O36" s="96"/>
      <c r="P36" s="96"/>
      <c r="Q36" s="96"/>
      <c r="R36" s="96"/>
      <c r="S36" s="96"/>
      <c r="T36" s="96"/>
      <c r="U36" s="96"/>
      <c r="V36" s="96"/>
      <c r="W36" s="96"/>
      <c r="X36" s="97"/>
    </row>
    <row r="37" spans="1:24">
      <c r="A37" s="84"/>
      <c r="B37" s="84"/>
      <c r="C37" s="84"/>
      <c r="D37" s="84"/>
      <c r="E37" s="84"/>
      <c r="F37" s="84"/>
      <c r="G37" s="84"/>
      <c r="H37" s="84"/>
      <c r="I37" s="84"/>
      <c r="J37" s="84"/>
      <c r="K37" s="84"/>
      <c r="L37" s="84"/>
      <c r="M37" s="84"/>
      <c r="N37" s="84"/>
      <c r="O37" s="84"/>
      <c r="P37" s="84"/>
      <c r="Q37" s="84"/>
      <c r="R37" s="84"/>
      <c r="S37" s="84"/>
      <c r="T37" s="84"/>
      <c r="U37" s="84"/>
      <c r="V37" s="84"/>
      <c r="W37" s="84"/>
      <c r="X37" s="84"/>
    </row>
  </sheetData>
  <sheetProtection password="CCF1" sheet="1" objects="1" scenarios="1"/>
  <mergeCells count="37">
    <mergeCell ref="K31:N31"/>
    <mergeCell ref="E32:H32"/>
    <mergeCell ref="Q32:T32"/>
    <mergeCell ref="E33:H33"/>
    <mergeCell ref="Q33:T33"/>
    <mergeCell ref="C20:V20"/>
    <mergeCell ref="C21:C23"/>
    <mergeCell ref="D21:F22"/>
    <mergeCell ref="G21:U21"/>
    <mergeCell ref="V21:V23"/>
    <mergeCell ref="G22:I22"/>
    <mergeCell ref="J22:L22"/>
    <mergeCell ref="M22:O22"/>
    <mergeCell ref="P22:R22"/>
    <mergeCell ref="S22:U22"/>
    <mergeCell ref="D17:G17"/>
    <mergeCell ref="H17:N17"/>
    <mergeCell ref="O17:Q17"/>
    <mergeCell ref="R17:U17"/>
    <mergeCell ref="D18:G18"/>
    <mergeCell ref="H18:N18"/>
    <mergeCell ref="O18:Q18"/>
    <mergeCell ref="R18:U18"/>
    <mergeCell ref="D15:G15"/>
    <mergeCell ref="H15:N15"/>
    <mergeCell ref="O15:Q15"/>
    <mergeCell ref="R15:U15"/>
    <mergeCell ref="D16:G16"/>
    <mergeCell ref="H16:N16"/>
    <mergeCell ref="O16:Q16"/>
    <mergeCell ref="R16:U16"/>
    <mergeCell ref="C3:V3"/>
    <mergeCell ref="C4:V4"/>
    <mergeCell ref="D14:G14"/>
    <mergeCell ref="H14:N14"/>
    <mergeCell ref="O14:Q14"/>
    <mergeCell ref="R14:U14"/>
  </mergeCells>
  <pageMargins left="0.7" right="0.53" top="0.75" bottom="0.75" header="0.3" footer="0.3"/>
  <pageSetup paperSize="5" orientation="portrait"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sheetPr>
    <tabColor theme="5" tint="-0.249977111117893"/>
  </sheetPr>
  <dimension ref="A1:BW40"/>
  <sheetViews>
    <sheetView showGridLines="0" showZeros="0" view="pageBreakPreview" zoomScaleSheetLayoutView="100" workbookViewId="0">
      <pane xSplit="2" ySplit="4" topLeftCell="C5" activePane="bottomRight" state="frozen"/>
      <selection pane="topRight" activeCell="C1" sqref="C1"/>
      <selection pane="bottomLeft" activeCell="A5" sqref="A5"/>
      <selection pane="bottomRight" activeCell="BK7" sqref="BK7"/>
    </sheetView>
  </sheetViews>
  <sheetFormatPr defaultRowHeight="15"/>
  <cols>
    <col min="1" max="1" width="6" style="207" customWidth="1"/>
    <col min="2" max="2" width="29.140625" style="207" customWidth="1"/>
    <col min="3" max="3" width="6.7109375" style="207" customWidth="1"/>
    <col min="4" max="4" width="12.7109375" style="207" customWidth="1"/>
    <col min="5" max="10" width="5.5703125" style="207" customWidth="1"/>
    <col min="11" max="11" width="5.140625" style="207" customWidth="1"/>
    <col min="12" max="12" width="3.7109375" style="207" customWidth="1"/>
    <col min="13" max="19" width="5.28515625" style="207" customWidth="1"/>
    <col min="20" max="20" width="3.7109375" style="207" customWidth="1"/>
    <col min="21" max="21" width="18.85546875" style="207" customWidth="1"/>
    <col min="22" max="28" width="5.28515625" style="207" customWidth="1"/>
    <col min="29" max="29" width="3.7109375" style="207" customWidth="1"/>
    <col min="30" max="36" width="5.140625" style="207" customWidth="1"/>
    <col min="37" max="37" width="3.7109375" style="207" customWidth="1"/>
    <col min="38" max="38" width="15.7109375" style="207" customWidth="1"/>
    <col min="39" max="45" width="5.140625" style="207" customWidth="1"/>
    <col min="46" max="46" width="3.7109375" style="207" customWidth="1"/>
    <col min="47" max="53" width="5.140625" style="207" customWidth="1"/>
    <col min="54" max="54" width="3" style="207" customWidth="1"/>
    <col min="55" max="60" width="4.140625" style="207" customWidth="1"/>
    <col min="61" max="61" width="4.7109375" style="207" customWidth="1"/>
    <col min="62" max="62" width="3" style="207" customWidth="1"/>
    <col min="63" max="63" width="4.5703125" style="207" customWidth="1"/>
    <col min="64" max="64" width="2.7109375" style="207" customWidth="1"/>
    <col min="65" max="72" width="4" style="207" hidden="1" customWidth="1"/>
    <col min="73" max="73" width="7.140625" style="207" customWidth="1"/>
    <col min="74" max="74" width="6.85546875" style="207" customWidth="1"/>
    <col min="75" max="75" width="4.85546875" style="207" customWidth="1"/>
    <col min="76" max="16384" width="9.140625" style="207"/>
  </cols>
  <sheetData>
    <row r="1" spans="1:75" ht="8.25" customHeight="1">
      <c r="A1" s="235"/>
      <c r="B1" s="235"/>
      <c r="C1" s="235"/>
      <c r="D1" s="235"/>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c r="AP1" s="236"/>
      <c r="AQ1" s="236"/>
      <c r="AR1" s="236"/>
      <c r="AS1" s="236"/>
      <c r="AT1" s="236"/>
      <c r="AU1" s="236"/>
      <c r="AV1" s="236"/>
      <c r="AW1" s="236"/>
      <c r="AX1" s="236"/>
      <c r="AY1" s="236"/>
      <c r="AZ1" s="236"/>
      <c r="BA1" s="236"/>
      <c r="BB1" s="236"/>
      <c r="BC1" s="236"/>
      <c r="BD1" s="236"/>
      <c r="BE1" s="236"/>
      <c r="BF1" s="236"/>
      <c r="BG1" s="236"/>
      <c r="BH1" s="236"/>
      <c r="BI1" s="236"/>
      <c r="BJ1" s="236"/>
      <c r="BK1" s="236"/>
      <c r="BL1" s="236"/>
      <c r="BM1" s="236"/>
      <c r="BN1" s="236"/>
      <c r="BO1" s="236"/>
      <c r="BP1" s="236"/>
      <c r="BQ1" s="236"/>
      <c r="BR1" s="236"/>
      <c r="BS1" s="236"/>
      <c r="BT1" s="236"/>
      <c r="BU1" s="236"/>
      <c r="BV1" s="236"/>
      <c r="BW1" s="236"/>
    </row>
    <row r="2" spans="1:75" ht="23.25" customHeight="1">
      <c r="A2" s="68"/>
      <c r="B2" s="133"/>
      <c r="C2" s="134"/>
      <c r="D2" s="135" t="s">
        <v>18</v>
      </c>
      <c r="E2" s="439" t="s">
        <v>54</v>
      </c>
      <c r="F2" s="440"/>
      <c r="G2" s="440"/>
      <c r="H2" s="440"/>
      <c r="I2" s="440"/>
      <c r="J2" s="440"/>
      <c r="K2" s="440"/>
      <c r="L2" s="441"/>
      <c r="M2" s="439" t="s">
        <v>55</v>
      </c>
      <c r="N2" s="440"/>
      <c r="O2" s="440"/>
      <c r="P2" s="440"/>
      <c r="Q2" s="440"/>
      <c r="R2" s="440"/>
      <c r="S2" s="440"/>
      <c r="T2" s="441"/>
      <c r="U2" s="145"/>
      <c r="V2" s="439" t="s">
        <v>223</v>
      </c>
      <c r="W2" s="440"/>
      <c r="X2" s="440"/>
      <c r="Y2" s="440"/>
      <c r="Z2" s="440"/>
      <c r="AA2" s="440"/>
      <c r="AB2" s="440"/>
      <c r="AC2" s="441"/>
      <c r="AD2" s="439" t="s">
        <v>207</v>
      </c>
      <c r="AE2" s="440"/>
      <c r="AF2" s="440"/>
      <c r="AG2" s="440"/>
      <c r="AH2" s="440"/>
      <c r="AI2" s="440"/>
      <c r="AJ2" s="440"/>
      <c r="AK2" s="441"/>
      <c r="AL2" s="145"/>
      <c r="AM2" s="439" t="s">
        <v>56</v>
      </c>
      <c r="AN2" s="440"/>
      <c r="AO2" s="440"/>
      <c r="AP2" s="440"/>
      <c r="AQ2" s="440"/>
      <c r="AR2" s="440"/>
      <c r="AS2" s="440"/>
      <c r="AT2" s="441"/>
      <c r="AU2" s="439" t="s">
        <v>57</v>
      </c>
      <c r="AV2" s="440"/>
      <c r="AW2" s="440"/>
      <c r="AX2" s="440"/>
      <c r="AY2" s="440"/>
      <c r="AZ2" s="440"/>
      <c r="BA2" s="440"/>
      <c r="BB2" s="441"/>
      <c r="BC2" s="439" t="s">
        <v>60</v>
      </c>
      <c r="BD2" s="440"/>
      <c r="BE2" s="440"/>
      <c r="BF2" s="440"/>
      <c r="BG2" s="440"/>
      <c r="BH2" s="440"/>
      <c r="BI2" s="440"/>
      <c r="BJ2" s="441"/>
      <c r="BK2" s="443" t="s">
        <v>205</v>
      </c>
      <c r="BL2" s="444" t="s">
        <v>19</v>
      </c>
      <c r="BM2" s="451" t="s">
        <v>54</v>
      </c>
      <c r="BN2" s="451" t="s">
        <v>55</v>
      </c>
      <c r="BO2" s="451" t="s">
        <v>206</v>
      </c>
      <c r="BP2" s="442" t="s">
        <v>207</v>
      </c>
      <c r="BQ2" s="451" t="s">
        <v>56</v>
      </c>
      <c r="BR2" s="442" t="s">
        <v>57</v>
      </c>
      <c r="BS2" s="442" t="s">
        <v>208</v>
      </c>
      <c r="BT2" s="442" t="s">
        <v>60</v>
      </c>
      <c r="BU2" s="457" t="s">
        <v>209</v>
      </c>
      <c r="BV2" s="458" t="s">
        <v>210</v>
      </c>
      <c r="BW2" s="459" t="s">
        <v>211</v>
      </c>
    </row>
    <row r="3" spans="1:75" ht="21" customHeight="1">
      <c r="A3" s="452"/>
      <c r="B3" s="453" t="s">
        <v>86</v>
      </c>
      <c r="C3" s="455" t="s">
        <v>212</v>
      </c>
      <c r="D3" s="136" t="s">
        <v>109</v>
      </c>
      <c r="E3" s="449" t="s">
        <v>213</v>
      </c>
      <c r="F3" s="450"/>
      <c r="G3" s="450"/>
      <c r="H3" s="450" t="s">
        <v>214</v>
      </c>
      <c r="I3" s="450"/>
      <c r="J3" s="450"/>
      <c r="K3" s="445" t="s">
        <v>32</v>
      </c>
      <c r="L3" s="447" t="s">
        <v>19</v>
      </c>
      <c r="M3" s="449" t="s">
        <v>213</v>
      </c>
      <c r="N3" s="450"/>
      <c r="O3" s="450"/>
      <c r="P3" s="450" t="s">
        <v>214</v>
      </c>
      <c r="Q3" s="450"/>
      <c r="R3" s="450"/>
      <c r="S3" s="445" t="s">
        <v>32</v>
      </c>
      <c r="T3" s="447" t="s">
        <v>19</v>
      </c>
      <c r="U3" s="69"/>
      <c r="V3" s="449" t="s">
        <v>213</v>
      </c>
      <c r="W3" s="450"/>
      <c r="X3" s="450"/>
      <c r="Y3" s="450" t="s">
        <v>214</v>
      </c>
      <c r="Z3" s="450"/>
      <c r="AA3" s="450"/>
      <c r="AB3" s="445" t="s">
        <v>32</v>
      </c>
      <c r="AC3" s="447" t="s">
        <v>19</v>
      </c>
      <c r="AD3" s="449" t="s">
        <v>213</v>
      </c>
      <c r="AE3" s="450"/>
      <c r="AF3" s="450"/>
      <c r="AG3" s="450" t="s">
        <v>214</v>
      </c>
      <c r="AH3" s="450"/>
      <c r="AI3" s="450"/>
      <c r="AJ3" s="445" t="s">
        <v>32</v>
      </c>
      <c r="AK3" s="447" t="s">
        <v>19</v>
      </c>
      <c r="AL3" s="69"/>
      <c r="AM3" s="449" t="s">
        <v>213</v>
      </c>
      <c r="AN3" s="450"/>
      <c r="AO3" s="450"/>
      <c r="AP3" s="450" t="s">
        <v>214</v>
      </c>
      <c r="AQ3" s="450"/>
      <c r="AR3" s="450"/>
      <c r="AS3" s="445" t="s">
        <v>32</v>
      </c>
      <c r="AT3" s="447" t="s">
        <v>19</v>
      </c>
      <c r="AU3" s="449" t="s">
        <v>213</v>
      </c>
      <c r="AV3" s="450"/>
      <c r="AW3" s="450"/>
      <c r="AX3" s="450" t="s">
        <v>214</v>
      </c>
      <c r="AY3" s="450"/>
      <c r="AZ3" s="450"/>
      <c r="BA3" s="445" t="s">
        <v>32</v>
      </c>
      <c r="BB3" s="447" t="s">
        <v>19</v>
      </c>
      <c r="BC3" s="449" t="s">
        <v>213</v>
      </c>
      <c r="BD3" s="450"/>
      <c r="BE3" s="450"/>
      <c r="BF3" s="450" t="s">
        <v>214</v>
      </c>
      <c r="BG3" s="450"/>
      <c r="BH3" s="450"/>
      <c r="BI3" s="445" t="s">
        <v>32</v>
      </c>
      <c r="BJ3" s="447" t="s">
        <v>19</v>
      </c>
      <c r="BK3" s="443"/>
      <c r="BL3" s="444"/>
      <c r="BM3" s="451"/>
      <c r="BN3" s="451"/>
      <c r="BO3" s="451"/>
      <c r="BP3" s="442"/>
      <c r="BQ3" s="451"/>
      <c r="BR3" s="442"/>
      <c r="BS3" s="442"/>
      <c r="BT3" s="442"/>
      <c r="BU3" s="457"/>
      <c r="BV3" s="458"/>
      <c r="BW3" s="459"/>
    </row>
    <row r="4" spans="1:75" ht="135" customHeight="1">
      <c r="A4" s="452"/>
      <c r="B4" s="454"/>
      <c r="C4" s="456"/>
      <c r="D4" s="137" t="s">
        <v>215</v>
      </c>
      <c r="E4" s="130" t="s">
        <v>82</v>
      </c>
      <c r="F4" s="114" t="s">
        <v>222</v>
      </c>
      <c r="G4" s="115" t="s">
        <v>218</v>
      </c>
      <c r="H4" s="114" t="s">
        <v>82</v>
      </c>
      <c r="I4" s="114" t="s">
        <v>222</v>
      </c>
      <c r="J4" s="115" t="s">
        <v>218</v>
      </c>
      <c r="K4" s="446"/>
      <c r="L4" s="448"/>
      <c r="M4" s="130" t="s">
        <v>82</v>
      </c>
      <c r="N4" s="114" t="s">
        <v>222</v>
      </c>
      <c r="O4" s="115" t="s">
        <v>218</v>
      </c>
      <c r="P4" s="114" t="s">
        <v>82</v>
      </c>
      <c r="Q4" s="114" t="s">
        <v>222</v>
      </c>
      <c r="R4" s="115" t="s">
        <v>218</v>
      </c>
      <c r="S4" s="446"/>
      <c r="T4" s="448"/>
      <c r="U4" s="69"/>
      <c r="V4" s="130" t="s">
        <v>82</v>
      </c>
      <c r="W4" s="114" t="s">
        <v>222</v>
      </c>
      <c r="X4" s="115" t="s">
        <v>218</v>
      </c>
      <c r="Y4" s="114" t="s">
        <v>82</v>
      </c>
      <c r="Z4" s="114" t="s">
        <v>222</v>
      </c>
      <c r="AA4" s="115" t="s">
        <v>218</v>
      </c>
      <c r="AB4" s="446"/>
      <c r="AC4" s="448"/>
      <c r="AD4" s="130" t="s">
        <v>82</v>
      </c>
      <c r="AE4" s="114" t="s">
        <v>222</v>
      </c>
      <c r="AF4" s="115" t="s">
        <v>218</v>
      </c>
      <c r="AG4" s="114" t="s">
        <v>82</v>
      </c>
      <c r="AH4" s="114" t="s">
        <v>222</v>
      </c>
      <c r="AI4" s="115" t="s">
        <v>218</v>
      </c>
      <c r="AJ4" s="446"/>
      <c r="AK4" s="448"/>
      <c r="AL4" s="69"/>
      <c r="AM4" s="130" t="s">
        <v>82</v>
      </c>
      <c r="AN4" s="114" t="s">
        <v>222</v>
      </c>
      <c r="AO4" s="115" t="s">
        <v>218</v>
      </c>
      <c r="AP4" s="114" t="s">
        <v>82</v>
      </c>
      <c r="AQ4" s="114" t="s">
        <v>222</v>
      </c>
      <c r="AR4" s="115" t="s">
        <v>218</v>
      </c>
      <c r="AS4" s="446"/>
      <c r="AT4" s="448"/>
      <c r="AU4" s="130" t="s">
        <v>216</v>
      </c>
      <c r="AV4" s="114" t="s">
        <v>217</v>
      </c>
      <c r="AW4" s="115" t="s">
        <v>218</v>
      </c>
      <c r="AX4" s="114" t="s">
        <v>216</v>
      </c>
      <c r="AY4" s="114" t="s">
        <v>217</v>
      </c>
      <c r="AZ4" s="115" t="s">
        <v>218</v>
      </c>
      <c r="BA4" s="446"/>
      <c r="BB4" s="448"/>
      <c r="BC4" s="130" t="s">
        <v>216</v>
      </c>
      <c r="BD4" s="114" t="s">
        <v>217</v>
      </c>
      <c r="BE4" s="115" t="s">
        <v>218</v>
      </c>
      <c r="BF4" s="114" t="s">
        <v>216</v>
      </c>
      <c r="BG4" s="114" t="s">
        <v>217</v>
      </c>
      <c r="BH4" s="115" t="s">
        <v>218</v>
      </c>
      <c r="BI4" s="446"/>
      <c r="BJ4" s="448"/>
      <c r="BK4" s="443"/>
      <c r="BL4" s="444"/>
      <c r="BM4" s="451"/>
      <c r="BN4" s="451"/>
      <c r="BO4" s="451"/>
      <c r="BP4" s="442"/>
      <c r="BQ4" s="451"/>
      <c r="BR4" s="442"/>
      <c r="BS4" s="442"/>
      <c r="BT4" s="442"/>
      <c r="BU4" s="457"/>
      <c r="BV4" s="458"/>
      <c r="BW4" s="459"/>
    </row>
    <row r="5" spans="1:75" ht="18.75" thickBot="1">
      <c r="A5" s="116"/>
      <c r="B5" s="132"/>
      <c r="C5" s="206"/>
      <c r="D5" s="205" t="s">
        <v>219</v>
      </c>
      <c r="E5" s="123">
        <v>40</v>
      </c>
      <c r="F5" s="124">
        <v>40</v>
      </c>
      <c r="G5" s="124">
        <v>20</v>
      </c>
      <c r="H5" s="124">
        <v>40</v>
      </c>
      <c r="I5" s="124">
        <v>40</v>
      </c>
      <c r="J5" s="124">
        <v>20</v>
      </c>
      <c r="K5" s="124">
        <v>200</v>
      </c>
      <c r="L5" s="125"/>
      <c r="M5" s="123">
        <v>40</v>
      </c>
      <c r="N5" s="124">
        <v>40</v>
      </c>
      <c r="O5" s="124">
        <v>20</v>
      </c>
      <c r="P5" s="124">
        <v>40</v>
      </c>
      <c r="Q5" s="124">
        <v>40</v>
      </c>
      <c r="R5" s="124">
        <v>20</v>
      </c>
      <c r="S5" s="124">
        <v>200</v>
      </c>
      <c r="T5" s="125"/>
      <c r="U5" s="70"/>
      <c r="V5" s="123">
        <v>40</v>
      </c>
      <c r="W5" s="124">
        <v>40</v>
      </c>
      <c r="X5" s="124">
        <v>20</v>
      </c>
      <c r="Y5" s="124">
        <v>40</v>
      </c>
      <c r="Z5" s="124">
        <v>40</v>
      </c>
      <c r="AA5" s="124">
        <v>20</v>
      </c>
      <c r="AB5" s="124">
        <v>200</v>
      </c>
      <c r="AC5" s="125"/>
      <c r="AD5" s="123">
        <v>40</v>
      </c>
      <c r="AE5" s="124">
        <v>40</v>
      </c>
      <c r="AF5" s="124">
        <v>20</v>
      </c>
      <c r="AG5" s="124">
        <v>40</v>
      </c>
      <c r="AH5" s="124">
        <v>40</v>
      </c>
      <c r="AI5" s="124">
        <v>20</v>
      </c>
      <c r="AJ5" s="124">
        <v>200</v>
      </c>
      <c r="AK5" s="125"/>
      <c r="AL5" s="70"/>
      <c r="AM5" s="123">
        <v>40</v>
      </c>
      <c r="AN5" s="124">
        <v>40</v>
      </c>
      <c r="AO5" s="124">
        <v>20</v>
      </c>
      <c r="AP5" s="124">
        <v>40</v>
      </c>
      <c r="AQ5" s="124">
        <v>40</v>
      </c>
      <c r="AR5" s="124">
        <v>20</v>
      </c>
      <c r="AS5" s="124">
        <v>200</v>
      </c>
      <c r="AT5" s="125"/>
      <c r="AU5" s="123">
        <v>40</v>
      </c>
      <c r="AV5" s="124">
        <v>40</v>
      </c>
      <c r="AW5" s="124">
        <v>20</v>
      </c>
      <c r="AX5" s="124">
        <v>40</v>
      </c>
      <c r="AY5" s="124">
        <v>40</v>
      </c>
      <c r="AZ5" s="124">
        <v>20</v>
      </c>
      <c r="BA5" s="124">
        <v>200</v>
      </c>
      <c r="BB5" s="125"/>
      <c r="BC5" s="123">
        <v>40</v>
      </c>
      <c r="BD5" s="124">
        <v>40</v>
      </c>
      <c r="BE5" s="124">
        <v>20</v>
      </c>
      <c r="BF5" s="124">
        <v>40</v>
      </c>
      <c r="BG5" s="124">
        <v>40</v>
      </c>
      <c r="BH5" s="124">
        <v>20</v>
      </c>
      <c r="BI5" s="124">
        <v>200</v>
      </c>
      <c r="BJ5" s="128"/>
      <c r="BK5" s="123">
        <v>400</v>
      </c>
      <c r="BL5" s="129"/>
      <c r="BM5" s="113">
        <v>200</v>
      </c>
      <c r="BN5" s="113">
        <v>200</v>
      </c>
      <c r="BO5" s="113">
        <v>200</v>
      </c>
      <c r="BP5" s="113">
        <v>200</v>
      </c>
      <c r="BQ5" s="113">
        <v>200</v>
      </c>
      <c r="BR5" s="113">
        <v>200</v>
      </c>
      <c r="BS5" s="113">
        <v>200</v>
      </c>
      <c r="BT5" s="113">
        <v>100</v>
      </c>
      <c r="BU5" s="123">
        <v>1800</v>
      </c>
      <c r="BV5" s="138">
        <v>1</v>
      </c>
      <c r="BW5" s="139"/>
    </row>
    <row r="6" spans="1:75" ht="17.25" customHeight="1">
      <c r="A6" s="237">
        <v>1</v>
      </c>
      <c r="B6" s="238" t="str">
        <f>'A-RACHNATMAK'!B263</f>
        <v>ગોહેલ રાજેશભાઇ ચીથરભાઇ</v>
      </c>
      <c r="C6" s="239">
        <f>STUDENTS!D4</f>
        <v>1555</v>
      </c>
      <c r="D6" s="240">
        <f>STUDENTS!D6</f>
        <v>35170</v>
      </c>
      <c r="E6" s="241">
        <f>'A-RACHNATMAK'!Z11</f>
        <v>27</v>
      </c>
      <c r="F6" s="242">
        <v>25</v>
      </c>
      <c r="G6" s="242">
        <v>12</v>
      </c>
      <c r="H6" s="243">
        <f>'A-RACHNATMAK'!BA11</f>
        <v>31</v>
      </c>
      <c r="I6" s="242">
        <v>31</v>
      </c>
      <c r="J6" s="242">
        <v>15</v>
      </c>
      <c r="K6" s="117">
        <f>SUM(E6:J6)</f>
        <v>141</v>
      </c>
      <c r="L6" s="118" t="str">
        <f>IF(K6&gt;160,"A",IF(K6&gt;130,"B",IF(K6&gt;100,"C",IF(K6&gt;70,"D",IF(K6&gt;0,"E","")))))</f>
        <v>B</v>
      </c>
      <c r="M6" s="241">
        <f>'A-RACHNATMAK'!Z53</f>
        <v>29</v>
      </c>
      <c r="N6" s="242">
        <v>25</v>
      </c>
      <c r="O6" s="242">
        <v>12</v>
      </c>
      <c r="P6" s="243">
        <f>'A-RACHNATMAK'!BA53</f>
        <v>29</v>
      </c>
      <c r="Q6" s="242">
        <v>31</v>
      </c>
      <c r="R6" s="242">
        <v>15</v>
      </c>
      <c r="S6" s="117">
        <f>SUM(M6:R6)</f>
        <v>141</v>
      </c>
      <c r="T6" s="118" t="str">
        <f>IF(S6&gt;160,"A",IF(S6&gt;130,"B",IF(S6&gt;100,"C",IF(S6&gt;70,"D",IF(S6&gt;0,"E","")))))</f>
        <v>B</v>
      </c>
      <c r="U6" s="71"/>
      <c r="V6" s="241">
        <f>'A-RACHNATMAK'!Z95</f>
        <v>40</v>
      </c>
      <c r="W6" s="242">
        <v>25</v>
      </c>
      <c r="X6" s="242">
        <v>12</v>
      </c>
      <c r="Y6" s="243">
        <f>'A-RACHNATMAK'!BA95</f>
        <v>40</v>
      </c>
      <c r="Z6" s="242">
        <v>31</v>
      </c>
      <c r="AA6" s="242">
        <v>15</v>
      </c>
      <c r="AB6" s="117">
        <f>SUM(V6:AA6)</f>
        <v>163</v>
      </c>
      <c r="AC6" s="118" t="str">
        <f>IF(AB6&gt;160,"A",IF(AB6&gt;130,"B",IF(AB6&gt;100,"C",IF(AB6&gt;70,"D",IF(AB6&gt;0,"E","")))))</f>
        <v>A</v>
      </c>
      <c r="AD6" s="241">
        <f>'A-RACHNATMAK'!Z179</f>
        <v>40</v>
      </c>
      <c r="AE6" s="242">
        <v>25</v>
      </c>
      <c r="AF6" s="242">
        <v>12</v>
      </c>
      <c r="AG6" s="243">
        <f>'A-RACHNATMAK'!BA179</f>
        <v>40</v>
      </c>
      <c r="AH6" s="242">
        <v>31</v>
      </c>
      <c r="AI6" s="242">
        <v>15</v>
      </c>
      <c r="AJ6" s="117">
        <f>SUM(AD6:AI6)</f>
        <v>163</v>
      </c>
      <c r="AK6" s="118" t="str">
        <f>IF(AJ6&gt;160,"A",IF(AJ6&gt;130,"B",IF(AJ6&gt;100,"C",IF(AJ6&gt;70,"D",IF(AJ6&gt;0,"E","")))))</f>
        <v>A</v>
      </c>
      <c r="AL6" s="71"/>
      <c r="AM6" s="241">
        <f>'A-RACHNATMAK'!Z137</f>
        <v>40</v>
      </c>
      <c r="AN6" s="242">
        <v>25</v>
      </c>
      <c r="AO6" s="242">
        <v>12</v>
      </c>
      <c r="AP6" s="243">
        <f>'A-RACHNATMAK'!BA137</f>
        <v>40</v>
      </c>
      <c r="AQ6" s="242">
        <v>31</v>
      </c>
      <c r="AR6" s="242">
        <v>15</v>
      </c>
      <c r="AS6" s="117">
        <f>SUM(AM6:AR6)</f>
        <v>163</v>
      </c>
      <c r="AT6" s="118" t="str">
        <f>IF(AS6&gt;160,"A",IF(AS6&gt;130,"B",IF(AS6&gt;100,"C",IF(AS6&gt;70,"D",IF(AS6&gt;0,"E","")))))</f>
        <v>A</v>
      </c>
      <c r="AU6" s="241">
        <f>'A-RACHNATMAK'!Z221</f>
        <v>40</v>
      </c>
      <c r="AV6" s="242">
        <v>25</v>
      </c>
      <c r="AW6" s="242">
        <v>12</v>
      </c>
      <c r="AX6" s="243">
        <f>'A-RACHNATMAK'!BA221</f>
        <v>40</v>
      </c>
      <c r="AY6" s="242">
        <v>31</v>
      </c>
      <c r="AZ6" s="242">
        <v>15</v>
      </c>
      <c r="BA6" s="117">
        <f>SUM(AU6:AZ6)</f>
        <v>163</v>
      </c>
      <c r="BB6" s="118" t="str">
        <f>IF(BA6&gt;160,"A",IF(BA6&gt;130,"B",IF(BA6&gt;100,"C",IF(BA6&gt;70,"D",IF(BA6&gt;0,"E","")))))</f>
        <v>A</v>
      </c>
      <c r="BC6" s="241">
        <f>'A-RACHNATMAK'!Z263</f>
        <v>40</v>
      </c>
      <c r="BD6" s="242">
        <v>25</v>
      </c>
      <c r="BE6" s="242">
        <v>12</v>
      </c>
      <c r="BF6" s="243">
        <f>'A-RACHNATMAK'!BA263</f>
        <v>40</v>
      </c>
      <c r="BG6" s="242">
        <v>31</v>
      </c>
      <c r="BH6" s="242">
        <v>15</v>
      </c>
      <c r="BI6" s="117">
        <f>SUM(BC6:BH6)</f>
        <v>163</v>
      </c>
      <c r="BJ6" s="118" t="str">
        <f>IF(BI6&gt;160,"A",IF(BI6&gt;130,"B",IF(BI6&gt;100,"C",IF(BI6&gt;70,"D",IF(BI6&gt;0,"E","")))))</f>
        <v>A</v>
      </c>
      <c r="BK6" s="202">
        <f ca="1">INDIRECT("'B-VV'!AS"&amp;(ROW(A1)-1)*2+8)</f>
        <v>6</v>
      </c>
      <c r="BL6" s="118" t="str">
        <f ca="1">IF(BK6&gt;160,"A",IF(BK6&gt;130,"B",IF(BK6&gt;100,"C",IF(BK6&gt;70,"D",IF(BK6&gt;0,"E","")))))</f>
        <v>E</v>
      </c>
      <c r="BM6" s="126">
        <v>68</v>
      </c>
      <c r="BN6" s="126">
        <v>68</v>
      </c>
      <c r="BO6" s="126">
        <v>68</v>
      </c>
      <c r="BP6" s="126">
        <v>68</v>
      </c>
      <c r="BQ6" s="126">
        <v>76.666666666666671</v>
      </c>
      <c r="BR6" s="126">
        <v>68</v>
      </c>
      <c r="BS6" s="126">
        <v>77.142857142857139</v>
      </c>
      <c r="BT6" s="126">
        <v>34</v>
      </c>
      <c r="BU6" s="140">
        <f ca="1">K6+S6+AB6+AJ6+AS6+BA6+BI6+BK6</f>
        <v>1103</v>
      </c>
      <c r="BV6" s="146">
        <f ca="1">ROUND(BU6/18,2)</f>
        <v>61.28</v>
      </c>
      <c r="BW6" s="118" t="str">
        <f ca="1">IF(BV6&gt;160,"A",IF(BV6&gt;130,"B",IF(BV6&gt;100,"C",IF(BV6&gt;70,"D",IF(BV6&gt;0,"E","")))))</f>
        <v>E</v>
      </c>
    </row>
    <row r="7" spans="1:75" ht="17.25" customHeight="1">
      <c r="A7" s="237">
        <v>2</v>
      </c>
      <c r="B7" s="244" t="str">
        <f>'A-RACHNATMAK'!B264</f>
        <v>ખિમસુરીયા સાહિલકુમાર અરજણભાઇ</v>
      </c>
      <c r="C7" s="245">
        <f>STUDENTS!D16</f>
        <v>0</v>
      </c>
      <c r="D7" s="246">
        <f ca="1">IF(STUDENTS!D18 &lt; TODAY()-10000000000,"",STUDENTS!D18)</f>
        <v>0</v>
      </c>
      <c r="E7" s="247">
        <f>'A-RACHNATMAK'!Z12</f>
        <v>29</v>
      </c>
      <c r="F7" s="248">
        <v>55</v>
      </c>
      <c r="G7" s="248">
        <v>20</v>
      </c>
      <c r="H7" s="249">
        <f>'A-RACHNATMAK'!BA12</f>
        <v>31</v>
      </c>
      <c r="I7" s="248"/>
      <c r="J7" s="248"/>
      <c r="K7" s="119">
        <f t="shared" ref="K7:K40" si="0">SUM(E7:J7)</f>
        <v>135</v>
      </c>
      <c r="L7" s="120" t="str">
        <f t="shared" ref="L7:L40" si="1">IF(K7&gt;160,"A",IF(K7&gt;130,"B",IF(K7&gt;100,"C",IF(K7&gt;70,"D",IF(K7&gt;0,"E","")))))</f>
        <v>B</v>
      </c>
      <c r="M7" s="247">
        <f>'A-RACHNATMAK'!Z54</f>
        <v>29</v>
      </c>
      <c r="N7" s="248"/>
      <c r="O7" s="248"/>
      <c r="P7" s="249">
        <f>'A-RACHNATMAK'!BA54</f>
        <v>27</v>
      </c>
      <c r="Q7" s="248"/>
      <c r="R7" s="248"/>
      <c r="S7" s="119">
        <f t="shared" ref="S7:S40" si="2">SUM(M7:R7)</f>
        <v>56</v>
      </c>
      <c r="T7" s="120" t="str">
        <f t="shared" ref="T7:T40" si="3">IF(S7&gt;160,"A",IF(S7&gt;130,"B",IF(S7&gt;100,"C",IF(S7&gt;70,"D",IF(S7&gt;0,"E","")))))</f>
        <v>E</v>
      </c>
      <c r="U7" s="71"/>
      <c r="V7" s="247">
        <f>'A-RACHNATMAK'!Z96</f>
        <v>40</v>
      </c>
      <c r="W7" s="248"/>
      <c r="X7" s="248"/>
      <c r="Y7" s="249">
        <f>'A-RACHNATMAK'!BA96</f>
        <v>40</v>
      </c>
      <c r="Z7" s="248"/>
      <c r="AA7" s="248"/>
      <c r="AB7" s="119">
        <f t="shared" ref="AB7:AB40" si="4">SUM(V7:AA7)</f>
        <v>80</v>
      </c>
      <c r="AC7" s="120" t="str">
        <f t="shared" ref="AC7:AC40" si="5">IF(AB7&gt;160,"A",IF(AB7&gt;130,"B",IF(AB7&gt;100,"C",IF(AB7&gt;70,"D",IF(AB7&gt;0,"E","")))))</f>
        <v>D</v>
      </c>
      <c r="AD7" s="247">
        <f>'A-RACHNATMAK'!Z180</f>
        <v>40</v>
      </c>
      <c r="AE7" s="248"/>
      <c r="AF7" s="248"/>
      <c r="AG7" s="249">
        <f>'A-RACHNATMAK'!BA180</f>
        <v>40</v>
      </c>
      <c r="AH7" s="248"/>
      <c r="AI7" s="248"/>
      <c r="AJ7" s="119">
        <f t="shared" ref="AJ7:AJ40" si="6">SUM(AD7:AI7)</f>
        <v>80</v>
      </c>
      <c r="AK7" s="120" t="str">
        <f t="shared" ref="AK7:AK40" si="7">IF(AJ7&gt;160,"A",IF(AJ7&gt;130,"B",IF(AJ7&gt;100,"C",IF(AJ7&gt;70,"D",IF(AJ7&gt;0,"E","")))))</f>
        <v>D</v>
      </c>
      <c r="AL7" s="71"/>
      <c r="AM7" s="247">
        <f>'A-RACHNATMAK'!Z138</f>
        <v>40</v>
      </c>
      <c r="AN7" s="248"/>
      <c r="AO7" s="248"/>
      <c r="AP7" s="249">
        <f>'A-RACHNATMAK'!BA138</f>
        <v>40</v>
      </c>
      <c r="AQ7" s="248"/>
      <c r="AR7" s="248"/>
      <c r="AS7" s="119">
        <f t="shared" ref="AS7:AS40" si="8">SUM(AM7:AR7)</f>
        <v>80</v>
      </c>
      <c r="AT7" s="120" t="str">
        <f t="shared" ref="AT7:AT40" si="9">IF(AS7&gt;160,"A",IF(AS7&gt;130,"B",IF(AS7&gt;100,"C",IF(AS7&gt;70,"D",IF(AS7&gt;0,"E","")))))</f>
        <v>D</v>
      </c>
      <c r="AU7" s="247">
        <f>'A-RACHNATMAK'!Z222</f>
        <v>40</v>
      </c>
      <c r="AV7" s="248"/>
      <c r="AW7" s="248"/>
      <c r="AX7" s="249">
        <f>'A-RACHNATMAK'!BA222</f>
        <v>40</v>
      </c>
      <c r="AY7" s="248"/>
      <c r="AZ7" s="248"/>
      <c r="BA7" s="119">
        <f t="shared" ref="BA7:BA40" si="10">SUM(AU7:AZ7)</f>
        <v>80</v>
      </c>
      <c r="BB7" s="120" t="str">
        <f t="shared" ref="BB7:BB40" si="11">IF(BA7&gt;160,"A",IF(BA7&gt;130,"B",IF(BA7&gt;100,"C",IF(BA7&gt;70,"D",IF(BA7&gt;0,"E","")))))</f>
        <v>D</v>
      </c>
      <c r="BC7" s="247">
        <f>'A-RACHNATMAK'!Z264</f>
        <v>40</v>
      </c>
      <c r="BD7" s="248"/>
      <c r="BE7" s="248"/>
      <c r="BF7" s="249">
        <f>'A-RACHNATMAK'!BA264</f>
        <v>40</v>
      </c>
      <c r="BG7" s="248"/>
      <c r="BH7" s="248"/>
      <c r="BI7" s="119">
        <f t="shared" ref="BI7:BI40" si="12">SUM(BC7:BH7)</f>
        <v>80</v>
      </c>
      <c r="BJ7" s="120" t="str">
        <f t="shared" ref="BJ7:BJ40" si="13">IF(BI7&gt;160,"A",IF(BI7&gt;130,"B",IF(BI7&gt;100,"C",IF(BI7&gt;70,"D",IF(BI7&gt;0,"E","")))))</f>
        <v>D</v>
      </c>
      <c r="BK7" s="203">
        <f t="shared" ref="BK7:BK23" ca="1" si="14">INDIRECT("'B-VV'!AS"&amp;(ROW(A2)-1)*2+8)</f>
        <v>16</v>
      </c>
      <c r="BL7" s="120" t="str">
        <f t="shared" ref="BL7:BL40" ca="1" si="15">IF(BK7&gt;160,"A",IF(BK7&gt;130,"B",IF(BK7&gt;100,"C",IF(BK7&gt;70,"D",IF(BK7&gt;0,"E","")))))</f>
        <v>E</v>
      </c>
      <c r="BM7" s="127">
        <v>68</v>
      </c>
      <c r="BN7" s="127">
        <v>68</v>
      </c>
      <c r="BO7" s="127">
        <v>68</v>
      </c>
      <c r="BP7" s="127">
        <v>68</v>
      </c>
      <c r="BQ7" s="127">
        <v>76.666666666666671</v>
      </c>
      <c r="BR7" s="127">
        <v>68</v>
      </c>
      <c r="BS7" s="127">
        <v>77.142857142857139</v>
      </c>
      <c r="BT7" s="127">
        <v>34</v>
      </c>
      <c r="BU7" s="141">
        <f t="shared" ref="BU7:BU40" ca="1" si="16">K7+S7+AB7+AJ7+AS7+BA7+BI7+BK7</f>
        <v>607</v>
      </c>
      <c r="BV7" s="142">
        <f t="shared" ref="BV7:BV40" ca="1" si="17">ROUND(BU7/18,2)</f>
        <v>33.72</v>
      </c>
      <c r="BW7" s="120" t="str">
        <f t="shared" ref="BW7:BW40" ca="1" si="18">IF(BV7&gt;160,"A",IF(BV7&gt;130,"B",IF(BV7&gt;100,"C",IF(BV7&gt;70,"D",IF(BV7&gt;0,"E","")))))</f>
        <v>E</v>
      </c>
    </row>
    <row r="8" spans="1:75" ht="17.25" customHeight="1">
      <c r="A8" s="237">
        <v>3</v>
      </c>
      <c r="B8" s="244" t="str">
        <f>'A-RACHNATMAK'!B265</f>
        <v>ગરણિયા મયુરકુમાર અશોકભાઇ</v>
      </c>
      <c r="C8" s="245">
        <f>STUDENTS!D28</f>
        <v>0</v>
      </c>
      <c r="D8" s="246">
        <f>STUDENTS!D30</f>
        <v>0</v>
      </c>
      <c r="E8" s="247">
        <f>'A-RACHNATMAK'!Z13</f>
        <v>29</v>
      </c>
      <c r="F8" s="248"/>
      <c r="G8" s="248"/>
      <c r="H8" s="249">
        <f>'A-RACHNATMAK'!BA13</f>
        <v>31</v>
      </c>
      <c r="I8" s="248"/>
      <c r="J8" s="248"/>
      <c r="K8" s="119">
        <f t="shared" si="0"/>
        <v>60</v>
      </c>
      <c r="L8" s="120" t="str">
        <f t="shared" si="1"/>
        <v>E</v>
      </c>
      <c r="M8" s="247">
        <f>'A-RACHNATMAK'!Z55</f>
        <v>29</v>
      </c>
      <c r="N8" s="248"/>
      <c r="O8" s="248"/>
      <c r="P8" s="249">
        <f>'A-RACHNATMAK'!BA55</f>
        <v>29</v>
      </c>
      <c r="Q8" s="248"/>
      <c r="R8" s="248"/>
      <c r="S8" s="119">
        <f t="shared" si="2"/>
        <v>58</v>
      </c>
      <c r="T8" s="120" t="str">
        <f t="shared" si="3"/>
        <v>E</v>
      </c>
      <c r="U8" s="71"/>
      <c r="V8" s="247">
        <f>'A-RACHNATMAK'!Z97</f>
        <v>40</v>
      </c>
      <c r="W8" s="248"/>
      <c r="X8" s="248"/>
      <c r="Y8" s="249">
        <f>'A-RACHNATMAK'!BA97</f>
        <v>40</v>
      </c>
      <c r="Z8" s="248"/>
      <c r="AA8" s="248"/>
      <c r="AB8" s="119">
        <f t="shared" si="4"/>
        <v>80</v>
      </c>
      <c r="AC8" s="120" t="str">
        <f t="shared" si="5"/>
        <v>D</v>
      </c>
      <c r="AD8" s="247">
        <f>'A-RACHNATMAK'!Z181</f>
        <v>40</v>
      </c>
      <c r="AE8" s="248"/>
      <c r="AF8" s="248"/>
      <c r="AG8" s="249">
        <f>'A-RACHNATMAK'!BA181</f>
        <v>40</v>
      </c>
      <c r="AH8" s="248"/>
      <c r="AI8" s="248"/>
      <c r="AJ8" s="119">
        <f t="shared" si="6"/>
        <v>80</v>
      </c>
      <c r="AK8" s="120" t="str">
        <f t="shared" si="7"/>
        <v>D</v>
      </c>
      <c r="AL8" s="71"/>
      <c r="AM8" s="247">
        <f>'A-RACHNATMAK'!Z139</f>
        <v>40</v>
      </c>
      <c r="AN8" s="248"/>
      <c r="AO8" s="248"/>
      <c r="AP8" s="249">
        <f>'A-RACHNATMAK'!BA139</f>
        <v>40</v>
      </c>
      <c r="AQ8" s="248"/>
      <c r="AR8" s="248"/>
      <c r="AS8" s="119">
        <f t="shared" si="8"/>
        <v>80</v>
      </c>
      <c r="AT8" s="120" t="str">
        <f t="shared" si="9"/>
        <v>D</v>
      </c>
      <c r="AU8" s="247">
        <f>'A-RACHNATMAK'!Z223</f>
        <v>40</v>
      </c>
      <c r="AV8" s="248"/>
      <c r="AW8" s="248"/>
      <c r="AX8" s="249">
        <f>'A-RACHNATMAK'!BA223</f>
        <v>40</v>
      </c>
      <c r="AY8" s="248"/>
      <c r="AZ8" s="248"/>
      <c r="BA8" s="119">
        <f t="shared" si="10"/>
        <v>80</v>
      </c>
      <c r="BB8" s="120" t="str">
        <f t="shared" si="11"/>
        <v>D</v>
      </c>
      <c r="BC8" s="247">
        <f>'A-RACHNATMAK'!Z265</f>
        <v>40</v>
      </c>
      <c r="BD8" s="248"/>
      <c r="BE8" s="248"/>
      <c r="BF8" s="249">
        <f>'A-RACHNATMAK'!BA265</f>
        <v>40</v>
      </c>
      <c r="BG8" s="248"/>
      <c r="BH8" s="248"/>
      <c r="BI8" s="119">
        <f t="shared" si="12"/>
        <v>80</v>
      </c>
      <c r="BJ8" s="120" t="str">
        <f t="shared" si="13"/>
        <v>D</v>
      </c>
      <c r="BK8" s="203">
        <f t="shared" ca="1" si="14"/>
        <v>0</v>
      </c>
      <c r="BL8" s="120" t="str">
        <f t="shared" ca="1" si="15"/>
        <v/>
      </c>
      <c r="BM8" s="127">
        <v>68</v>
      </c>
      <c r="BN8" s="127">
        <v>68</v>
      </c>
      <c r="BO8" s="127">
        <v>68</v>
      </c>
      <c r="BP8" s="127">
        <v>68</v>
      </c>
      <c r="BQ8" s="127">
        <v>76.666666666666671</v>
      </c>
      <c r="BR8" s="127">
        <v>68</v>
      </c>
      <c r="BS8" s="127">
        <v>77.142857142857139</v>
      </c>
      <c r="BT8" s="127">
        <v>34</v>
      </c>
      <c r="BU8" s="141">
        <f t="shared" ca="1" si="16"/>
        <v>518</v>
      </c>
      <c r="BV8" s="142">
        <f t="shared" ca="1" si="17"/>
        <v>28.78</v>
      </c>
      <c r="BW8" s="120" t="str">
        <f t="shared" ca="1" si="18"/>
        <v>E</v>
      </c>
    </row>
    <row r="9" spans="1:75" ht="17.25" customHeight="1">
      <c r="A9" s="237">
        <v>4</v>
      </c>
      <c r="B9" s="244" t="str">
        <f>'A-RACHNATMAK'!B266</f>
        <v>ગરણિયા અલ્પેશકુમાર મેરામભાઇ</v>
      </c>
      <c r="C9" s="245">
        <f>STUDENTS!D40</f>
        <v>0</v>
      </c>
      <c r="D9" s="246">
        <f>STUDENTS!D42</f>
        <v>0</v>
      </c>
      <c r="E9" s="247">
        <f>'A-RACHNATMAK'!Z14</f>
        <v>29</v>
      </c>
      <c r="F9" s="248"/>
      <c r="G9" s="248"/>
      <c r="H9" s="249">
        <f>'A-RACHNATMAK'!BA14</f>
        <v>31</v>
      </c>
      <c r="I9" s="248"/>
      <c r="J9" s="248"/>
      <c r="K9" s="119">
        <f t="shared" si="0"/>
        <v>60</v>
      </c>
      <c r="L9" s="120" t="str">
        <f t="shared" si="1"/>
        <v>E</v>
      </c>
      <c r="M9" s="247">
        <f>'A-RACHNATMAK'!Z56</f>
        <v>29</v>
      </c>
      <c r="N9" s="248"/>
      <c r="O9" s="248"/>
      <c r="P9" s="249">
        <f>'A-RACHNATMAK'!BA56</f>
        <v>29</v>
      </c>
      <c r="Q9" s="248"/>
      <c r="R9" s="248"/>
      <c r="S9" s="119">
        <f t="shared" si="2"/>
        <v>58</v>
      </c>
      <c r="T9" s="120" t="str">
        <f t="shared" si="3"/>
        <v>E</v>
      </c>
      <c r="U9" s="71"/>
      <c r="V9" s="247">
        <f>'A-RACHNATMAK'!Z98</f>
        <v>40</v>
      </c>
      <c r="W9" s="248"/>
      <c r="X9" s="248"/>
      <c r="Y9" s="249">
        <f>'A-RACHNATMAK'!BA98</f>
        <v>40</v>
      </c>
      <c r="Z9" s="248"/>
      <c r="AA9" s="248"/>
      <c r="AB9" s="119">
        <f t="shared" si="4"/>
        <v>80</v>
      </c>
      <c r="AC9" s="120" t="str">
        <f t="shared" si="5"/>
        <v>D</v>
      </c>
      <c r="AD9" s="247">
        <f>'A-RACHNATMAK'!Z182</f>
        <v>40</v>
      </c>
      <c r="AE9" s="248"/>
      <c r="AF9" s="248"/>
      <c r="AG9" s="249">
        <f>'A-RACHNATMAK'!BA182</f>
        <v>40</v>
      </c>
      <c r="AH9" s="248"/>
      <c r="AI9" s="248"/>
      <c r="AJ9" s="119">
        <f t="shared" si="6"/>
        <v>80</v>
      </c>
      <c r="AK9" s="120" t="str">
        <f t="shared" si="7"/>
        <v>D</v>
      </c>
      <c r="AL9" s="71"/>
      <c r="AM9" s="247">
        <f>'A-RACHNATMAK'!Z140</f>
        <v>40</v>
      </c>
      <c r="AN9" s="248"/>
      <c r="AO9" s="248"/>
      <c r="AP9" s="249">
        <f>'A-RACHNATMAK'!BA140</f>
        <v>40</v>
      </c>
      <c r="AQ9" s="248"/>
      <c r="AR9" s="248"/>
      <c r="AS9" s="119">
        <f t="shared" si="8"/>
        <v>80</v>
      </c>
      <c r="AT9" s="120" t="str">
        <f t="shared" si="9"/>
        <v>D</v>
      </c>
      <c r="AU9" s="247">
        <f>'A-RACHNATMAK'!Z224</f>
        <v>40</v>
      </c>
      <c r="AV9" s="248"/>
      <c r="AW9" s="248"/>
      <c r="AX9" s="249">
        <f>'A-RACHNATMAK'!BA224</f>
        <v>40</v>
      </c>
      <c r="AY9" s="248"/>
      <c r="AZ9" s="248"/>
      <c r="BA9" s="119">
        <f t="shared" si="10"/>
        <v>80</v>
      </c>
      <c r="BB9" s="120" t="str">
        <f t="shared" si="11"/>
        <v>D</v>
      </c>
      <c r="BC9" s="247">
        <f>'A-RACHNATMAK'!Z266</f>
        <v>40</v>
      </c>
      <c r="BD9" s="248"/>
      <c r="BE9" s="248"/>
      <c r="BF9" s="249">
        <f>'A-RACHNATMAK'!BA266</f>
        <v>40</v>
      </c>
      <c r="BG9" s="248"/>
      <c r="BH9" s="248"/>
      <c r="BI9" s="119">
        <f t="shared" si="12"/>
        <v>80</v>
      </c>
      <c r="BJ9" s="120" t="str">
        <f t="shared" si="13"/>
        <v>D</v>
      </c>
      <c r="BK9" s="203">
        <f t="shared" ca="1" si="14"/>
        <v>0</v>
      </c>
      <c r="BL9" s="120" t="str">
        <f t="shared" ca="1" si="15"/>
        <v/>
      </c>
      <c r="BM9" s="127">
        <v>68</v>
      </c>
      <c r="BN9" s="127">
        <v>68</v>
      </c>
      <c r="BO9" s="127">
        <v>68</v>
      </c>
      <c r="BP9" s="127">
        <v>68</v>
      </c>
      <c r="BQ9" s="127">
        <v>76.666666666666671</v>
      </c>
      <c r="BR9" s="127">
        <v>68</v>
      </c>
      <c r="BS9" s="127">
        <v>77.142857142857139</v>
      </c>
      <c r="BT9" s="127">
        <v>34</v>
      </c>
      <c r="BU9" s="141">
        <f t="shared" ca="1" si="16"/>
        <v>518</v>
      </c>
      <c r="BV9" s="142">
        <f t="shared" ca="1" si="17"/>
        <v>28.78</v>
      </c>
      <c r="BW9" s="120" t="str">
        <f t="shared" ca="1" si="18"/>
        <v>E</v>
      </c>
    </row>
    <row r="10" spans="1:75" ht="17.25" customHeight="1">
      <c r="A10" s="237">
        <v>5</v>
      </c>
      <c r="B10" s="244" t="str">
        <f>'A-RACHNATMAK'!B267</f>
        <v>ગરણિયા મિલન પોપટભાઇ</v>
      </c>
      <c r="C10" s="245">
        <f>STUDENTS!D52</f>
        <v>0</v>
      </c>
      <c r="D10" s="246">
        <f>STUDENTS!D54</f>
        <v>0</v>
      </c>
      <c r="E10" s="247">
        <f>'A-RACHNATMAK'!Z15</f>
        <v>29</v>
      </c>
      <c r="F10" s="248"/>
      <c r="G10" s="248"/>
      <c r="H10" s="249">
        <f>'A-RACHNATMAK'!BA15</f>
        <v>31</v>
      </c>
      <c r="I10" s="248"/>
      <c r="J10" s="248"/>
      <c r="K10" s="119">
        <f t="shared" si="0"/>
        <v>60</v>
      </c>
      <c r="L10" s="120" t="str">
        <f t="shared" si="1"/>
        <v>E</v>
      </c>
      <c r="M10" s="247">
        <f>'A-RACHNATMAK'!Z57</f>
        <v>29</v>
      </c>
      <c r="N10" s="248"/>
      <c r="O10" s="248"/>
      <c r="P10" s="249">
        <f>'A-RACHNATMAK'!BA57</f>
        <v>29</v>
      </c>
      <c r="Q10" s="248"/>
      <c r="R10" s="248"/>
      <c r="S10" s="119">
        <f t="shared" si="2"/>
        <v>58</v>
      </c>
      <c r="T10" s="120" t="str">
        <f t="shared" si="3"/>
        <v>E</v>
      </c>
      <c r="U10" s="71"/>
      <c r="V10" s="247">
        <f>'A-RACHNATMAK'!Z99</f>
        <v>40</v>
      </c>
      <c r="W10" s="248"/>
      <c r="X10" s="248"/>
      <c r="Y10" s="249">
        <f>'A-RACHNATMAK'!BA99</f>
        <v>40</v>
      </c>
      <c r="Z10" s="248"/>
      <c r="AA10" s="248"/>
      <c r="AB10" s="119">
        <f t="shared" si="4"/>
        <v>80</v>
      </c>
      <c r="AC10" s="120" t="str">
        <f t="shared" si="5"/>
        <v>D</v>
      </c>
      <c r="AD10" s="247">
        <f>'A-RACHNATMAK'!Z183</f>
        <v>40</v>
      </c>
      <c r="AE10" s="248"/>
      <c r="AF10" s="248"/>
      <c r="AG10" s="249">
        <f>'A-RACHNATMAK'!BA183</f>
        <v>40</v>
      </c>
      <c r="AH10" s="248"/>
      <c r="AI10" s="248"/>
      <c r="AJ10" s="119">
        <f t="shared" si="6"/>
        <v>80</v>
      </c>
      <c r="AK10" s="120" t="str">
        <f t="shared" si="7"/>
        <v>D</v>
      </c>
      <c r="AL10" s="71"/>
      <c r="AM10" s="247">
        <f>'A-RACHNATMAK'!Z141</f>
        <v>40</v>
      </c>
      <c r="AN10" s="248"/>
      <c r="AO10" s="248"/>
      <c r="AP10" s="249">
        <f>'A-RACHNATMAK'!BA141</f>
        <v>40</v>
      </c>
      <c r="AQ10" s="248"/>
      <c r="AR10" s="248"/>
      <c r="AS10" s="119">
        <f t="shared" si="8"/>
        <v>80</v>
      </c>
      <c r="AT10" s="120" t="str">
        <f t="shared" si="9"/>
        <v>D</v>
      </c>
      <c r="AU10" s="247">
        <f>'A-RACHNATMAK'!Z225</f>
        <v>40</v>
      </c>
      <c r="AV10" s="248"/>
      <c r="AW10" s="248"/>
      <c r="AX10" s="249">
        <f>'A-RACHNATMAK'!BA225</f>
        <v>40</v>
      </c>
      <c r="AY10" s="248"/>
      <c r="AZ10" s="248"/>
      <c r="BA10" s="119">
        <f t="shared" si="10"/>
        <v>80</v>
      </c>
      <c r="BB10" s="120" t="str">
        <f t="shared" si="11"/>
        <v>D</v>
      </c>
      <c r="BC10" s="247">
        <f>'A-RACHNATMAK'!Z267</f>
        <v>40</v>
      </c>
      <c r="BD10" s="248"/>
      <c r="BE10" s="248"/>
      <c r="BF10" s="249">
        <f>'A-RACHNATMAK'!BA267</f>
        <v>40</v>
      </c>
      <c r="BG10" s="248"/>
      <c r="BH10" s="248"/>
      <c r="BI10" s="119">
        <f t="shared" si="12"/>
        <v>80</v>
      </c>
      <c r="BJ10" s="120" t="str">
        <f t="shared" si="13"/>
        <v>D</v>
      </c>
      <c r="BK10" s="203">
        <f t="shared" ca="1" si="14"/>
        <v>0</v>
      </c>
      <c r="BL10" s="120" t="str">
        <f t="shared" ca="1" si="15"/>
        <v/>
      </c>
      <c r="BM10" s="127">
        <v>68</v>
      </c>
      <c r="BN10" s="127">
        <v>68</v>
      </c>
      <c r="BO10" s="127">
        <v>68</v>
      </c>
      <c r="BP10" s="127">
        <v>68</v>
      </c>
      <c r="BQ10" s="127">
        <v>76.666666666666671</v>
      </c>
      <c r="BR10" s="127">
        <v>68</v>
      </c>
      <c r="BS10" s="127">
        <v>77.142857142857139</v>
      </c>
      <c r="BT10" s="127">
        <v>34</v>
      </c>
      <c r="BU10" s="141">
        <f t="shared" ca="1" si="16"/>
        <v>518</v>
      </c>
      <c r="BV10" s="142">
        <f t="shared" ca="1" si="17"/>
        <v>28.78</v>
      </c>
      <c r="BW10" s="120" t="str">
        <f t="shared" ca="1" si="18"/>
        <v>E</v>
      </c>
    </row>
    <row r="11" spans="1:75" ht="17.25" customHeight="1">
      <c r="A11" s="237">
        <v>6</v>
      </c>
      <c r="B11" s="244" t="str">
        <f>'A-RACHNATMAK'!B268</f>
        <v>ગરણિયા મોહિત રાવતભાઇ</v>
      </c>
      <c r="C11" s="245">
        <f>STUDENTS!D64</f>
        <v>0</v>
      </c>
      <c r="D11" s="246">
        <f>STUDENTS!D66</f>
        <v>0</v>
      </c>
      <c r="E11" s="247">
        <f>'A-RACHNATMAK'!Z16</f>
        <v>27</v>
      </c>
      <c r="F11" s="248"/>
      <c r="G11" s="248"/>
      <c r="H11" s="249">
        <f>'A-RACHNATMAK'!BA16</f>
        <v>29</v>
      </c>
      <c r="I11" s="248"/>
      <c r="J11" s="248"/>
      <c r="K11" s="119">
        <f t="shared" si="0"/>
        <v>56</v>
      </c>
      <c r="L11" s="120" t="str">
        <f t="shared" si="1"/>
        <v>E</v>
      </c>
      <c r="M11" s="247">
        <f>'A-RACHNATMAK'!Z58</f>
        <v>27</v>
      </c>
      <c r="N11" s="248"/>
      <c r="O11" s="248"/>
      <c r="P11" s="249">
        <f>'A-RACHNATMAK'!BA58</f>
        <v>27</v>
      </c>
      <c r="Q11" s="248"/>
      <c r="R11" s="248"/>
      <c r="S11" s="119">
        <f t="shared" si="2"/>
        <v>54</v>
      </c>
      <c r="T11" s="120" t="str">
        <f t="shared" si="3"/>
        <v>E</v>
      </c>
      <c r="U11" s="71"/>
      <c r="V11" s="247">
        <f>'A-RACHNATMAK'!Z100</f>
        <v>40</v>
      </c>
      <c r="W11" s="248"/>
      <c r="X11" s="248"/>
      <c r="Y11" s="249">
        <f>'A-RACHNATMAK'!BA100</f>
        <v>40</v>
      </c>
      <c r="Z11" s="248"/>
      <c r="AA11" s="248"/>
      <c r="AB11" s="119">
        <f t="shared" si="4"/>
        <v>80</v>
      </c>
      <c r="AC11" s="120" t="str">
        <f t="shared" si="5"/>
        <v>D</v>
      </c>
      <c r="AD11" s="247">
        <f>'A-RACHNATMAK'!Z184</f>
        <v>40</v>
      </c>
      <c r="AE11" s="248"/>
      <c r="AF11" s="248"/>
      <c r="AG11" s="249">
        <f>'A-RACHNATMAK'!BA184</f>
        <v>40</v>
      </c>
      <c r="AH11" s="248"/>
      <c r="AI11" s="248"/>
      <c r="AJ11" s="119">
        <f t="shared" si="6"/>
        <v>80</v>
      </c>
      <c r="AK11" s="120" t="str">
        <f t="shared" si="7"/>
        <v>D</v>
      </c>
      <c r="AL11" s="71"/>
      <c r="AM11" s="247">
        <f>'A-RACHNATMAK'!Z142</f>
        <v>40</v>
      </c>
      <c r="AN11" s="248"/>
      <c r="AO11" s="248"/>
      <c r="AP11" s="249">
        <f>'A-RACHNATMAK'!BA142</f>
        <v>40</v>
      </c>
      <c r="AQ11" s="248"/>
      <c r="AR11" s="248"/>
      <c r="AS11" s="119">
        <f t="shared" si="8"/>
        <v>80</v>
      </c>
      <c r="AT11" s="120" t="str">
        <f t="shared" si="9"/>
        <v>D</v>
      </c>
      <c r="AU11" s="247">
        <f>'A-RACHNATMAK'!Z226</f>
        <v>40</v>
      </c>
      <c r="AV11" s="248"/>
      <c r="AW11" s="248"/>
      <c r="AX11" s="249">
        <f>'A-RACHNATMAK'!BA226</f>
        <v>40</v>
      </c>
      <c r="AY11" s="248"/>
      <c r="AZ11" s="248"/>
      <c r="BA11" s="119">
        <f t="shared" si="10"/>
        <v>80</v>
      </c>
      <c r="BB11" s="120" t="str">
        <f t="shared" si="11"/>
        <v>D</v>
      </c>
      <c r="BC11" s="247">
        <f>'A-RACHNATMAK'!Z268</f>
        <v>40</v>
      </c>
      <c r="BD11" s="248"/>
      <c r="BE11" s="248"/>
      <c r="BF11" s="249">
        <f>'A-RACHNATMAK'!BA268</f>
        <v>40</v>
      </c>
      <c r="BG11" s="248"/>
      <c r="BH11" s="248"/>
      <c r="BI11" s="119">
        <f t="shared" si="12"/>
        <v>80</v>
      </c>
      <c r="BJ11" s="120" t="str">
        <f t="shared" si="13"/>
        <v>D</v>
      </c>
      <c r="BK11" s="203">
        <f t="shared" ca="1" si="14"/>
        <v>0</v>
      </c>
      <c r="BL11" s="120" t="str">
        <f t="shared" ca="1" si="15"/>
        <v/>
      </c>
      <c r="BM11" s="127">
        <v>68</v>
      </c>
      <c r="BN11" s="127">
        <v>68</v>
      </c>
      <c r="BO11" s="127">
        <v>68</v>
      </c>
      <c r="BP11" s="127">
        <v>68</v>
      </c>
      <c r="BQ11" s="127">
        <v>76.666666666666671</v>
      </c>
      <c r="BR11" s="127">
        <v>68</v>
      </c>
      <c r="BS11" s="127">
        <v>77.142857142857139</v>
      </c>
      <c r="BT11" s="127">
        <v>34</v>
      </c>
      <c r="BU11" s="141">
        <f t="shared" ca="1" si="16"/>
        <v>510</v>
      </c>
      <c r="BV11" s="142">
        <f t="shared" ca="1" si="17"/>
        <v>28.33</v>
      </c>
      <c r="BW11" s="120" t="str">
        <f t="shared" ca="1" si="18"/>
        <v>E</v>
      </c>
    </row>
    <row r="12" spans="1:75" ht="17.25" customHeight="1">
      <c r="A12" s="237">
        <v>7</v>
      </c>
      <c r="B12" s="244" t="str">
        <f>'A-RACHNATMAK'!B269</f>
        <v>ગરણિયા સુમિત પોપટભાઇ</v>
      </c>
      <c r="C12" s="245">
        <f>STUDENTS!D76</f>
        <v>0</v>
      </c>
      <c r="D12" s="246">
        <f>STUDENTS!D78</f>
        <v>0</v>
      </c>
      <c r="E12" s="247">
        <f>'A-RACHNATMAK'!Z17</f>
        <v>27</v>
      </c>
      <c r="F12" s="248"/>
      <c r="G12" s="248"/>
      <c r="H12" s="249">
        <f>'A-RACHNATMAK'!BA17</f>
        <v>29</v>
      </c>
      <c r="I12" s="248"/>
      <c r="J12" s="248"/>
      <c r="K12" s="119">
        <f t="shared" si="0"/>
        <v>56</v>
      </c>
      <c r="L12" s="120" t="str">
        <f t="shared" si="1"/>
        <v>E</v>
      </c>
      <c r="M12" s="247">
        <f>'A-RACHNATMAK'!Z59</f>
        <v>27</v>
      </c>
      <c r="N12" s="248"/>
      <c r="O12" s="248"/>
      <c r="P12" s="249">
        <f>'A-RACHNATMAK'!BA59</f>
        <v>24</v>
      </c>
      <c r="Q12" s="248"/>
      <c r="R12" s="248"/>
      <c r="S12" s="119">
        <f t="shared" si="2"/>
        <v>51</v>
      </c>
      <c r="T12" s="120" t="str">
        <f t="shared" si="3"/>
        <v>E</v>
      </c>
      <c r="U12" s="71"/>
      <c r="V12" s="247">
        <f>'A-RACHNATMAK'!Z101</f>
        <v>40</v>
      </c>
      <c r="W12" s="248"/>
      <c r="X12" s="248"/>
      <c r="Y12" s="249">
        <f>'A-RACHNATMAK'!BA101</f>
        <v>40</v>
      </c>
      <c r="Z12" s="248"/>
      <c r="AA12" s="248"/>
      <c r="AB12" s="119">
        <f t="shared" si="4"/>
        <v>80</v>
      </c>
      <c r="AC12" s="120" t="str">
        <f t="shared" si="5"/>
        <v>D</v>
      </c>
      <c r="AD12" s="247">
        <f>'A-RACHNATMAK'!Z185</f>
        <v>40</v>
      </c>
      <c r="AE12" s="248"/>
      <c r="AF12" s="248"/>
      <c r="AG12" s="249">
        <f>'A-RACHNATMAK'!BA185</f>
        <v>40</v>
      </c>
      <c r="AH12" s="248"/>
      <c r="AI12" s="248"/>
      <c r="AJ12" s="119">
        <f t="shared" si="6"/>
        <v>80</v>
      </c>
      <c r="AK12" s="120" t="str">
        <f t="shared" si="7"/>
        <v>D</v>
      </c>
      <c r="AL12" s="71"/>
      <c r="AM12" s="247">
        <f>'A-RACHNATMAK'!Z143</f>
        <v>40</v>
      </c>
      <c r="AN12" s="248"/>
      <c r="AO12" s="248"/>
      <c r="AP12" s="249">
        <f>'A-RACHNATMAK'!BA143</f>
        <v>40</v>
      </c>
      <c r="AQ12" s="248"/>
      <c r="AR12" s="248"/>
      <c r="AS12" s="119">
        <f t="shared" si="8"/>
        <v>80</v>
      </c>
      <c r="AT12" s="120" t="str">
        <f t="shared" si="9"/>
        <v>D</v>
      </c>
      <c r="AU12" s="247">
        <f>'A-RACHNATMAK'!Z227</f>
        <v>40</v>
      </c>
      <c r="AV12" s="248"/>
      <c r="AW12" s="248"/>
      <c r="AX12" s="249">
        <f>'A-RACHNATMAK'!BA227</f>
        <v>40</v>
      </c>
      <c r="AY12" s="248"/>
      <c r="AZ12" s="248"/>
      <c r="BA12" s="119">
        <f t="shared" si="10"/>
        <v>80</v>
      </c>
      <c r="BB12" s="120" t="str">
        <f t="shared" si="11"/>
        <v>D</v>
      </c>
      <c r="BC12" s="247">
        <f>'A-RACHNATMAK'!Z269</f>
        <v>40</v>
      </c>
      <c r="BD12" s="248"/>
      <c r="BE12" s="248"/>
      <c r="BF12" s="249">
        <f>'A-RACHNATMAK'!BA269</f>
        <v>40</v>
      </c>
      <c r="BG12" s="248"/>
      <c r="BH12" s="248"/>
      <c r="BI12" s="119">
        <f t="shared" si="12"/>
        <v>80</v>
      </c>
      <c r="BJ12" s="120" t="str">
        <f t="shared" si="13"/>
        <v>D</v>
      </c>
      <c r="BK12" s="203">
        <f t="shared" ca="1" si="14"/>
        <v>0</v>
      </c>
      <c r="BL12" s="120" t="str">
        <f t="shared" ca="1" si="15"/>
        <v/>
      </c>
      <c r="BM12" s="127">
        <v>68</v>
      </c>
      <c r="BN12" s="127">
        <v>68</v>
      </c>
      <c r="BO12" s="127">
        <v>68</v>
      </c>
      <c r="BP12" s="127">
        <v>68</v>
      </c>
      <c r="BQ12" s="127">
        <v>76.666666666666671</v>
      </c>
      <c r="BR12" s="127">
        <v>68</v>
      </c>
      <c r="BS12" s="127">
        <v>77.142857142857139</v>
      </c>
      <c r="BT12" s="127">
        <v>34</v>
      </c>
      <c r="BU12" s="141">
        <f t="shared" ca="1" si="16"/>
        <v>507</v>
      </c>
      <c r="BV12" s="142">
        <f t="shared" ca="1" si="17"/>
        <v>28.17</v>
      </c>
      <c r="BW12" s="120" t="str">
        <f t="shared" ca="1" si="18"/>
        <v>E</v>
      </c>
    </row>
    <row r="13" spans="1:75" ht="17.25" customHeight="1">
      <c r="A13" s="237">
        <v>8</v>
      </c>
      <c r="B13" s="244" t="str">
        <f>'A-RACHNATMAK'!B270</f>
        <v>ગરણિયા રામકુભાઇ સાર્દૂળભાઇ</v>
      </c>
      <c r="C13" s="245">
        <f>STUDENTS!D88</f>
        <v>0</v>
      </c>
      <c r="D13" s="246">
        <f>STUDENTS!D90</f>
        <v>0</v>
      </c>
      <c r="E13" s="247">
        <f>'A-RACHNATMAK'!Z18</f>
        <v>29</v>
      </c>
      <c r="F13" s="248"/>
      <c r="G13" s="248"/>
      <c r="H13" s="249">
        <f>'A-RACHNATMAK'!BA18</f>
        <v>31</v>
      </c>
      <c r="I13" s="248"/>
      <c r="J13" s="248"/>
      <c r="K13" s="119">
        <f t="shared" si="0"/>
        <v>60</v>
      </c>
      <c r="L13" s="120" t="str">
        <f t="shared" si="1"/>
        <v>E</v>
      </c>
      <c r="M13" s="247">
        <f>'A-RACHNATMAK'!Z60</f>
        <v>29</v>
      </c>
      <c r="N13" s="248"/>
      <c r="O13" s="248"/>
      <c r="P13" s="249">
        <f>'A-RACHNATMAK'!BA60</f>
        <v>29</v>
      </c>
      <c r="Q13" s="248"/>
      <c r="R13" s="248"/>
      <c r="S13" s="119">
        <f t="shared" si="2"/>
        <v>58</v>
      </c>
      <c r="T13" s="120" t="str">
        <f t="shared" si="3"/>
        <v>E</v>
      </c>
      <c r="U13" s="71"/>
      <c r="V13" s="247">
        <f>'A-RACHNATMAK'!Z102</f>
        <v>40</v>
      </c>
      <c r="W13" s="248"/>
      <c r="X13" s="248"/>
      <c r="Y13" s="249">
        <f>'A-RACHNATMAK'!BA102</f>
        <v>40</v>
      </c>
      <c r="Z13" s="248"/>
      <c r="AA13" s="248"/>
      <c r="AB13" s="119">
        <f t="shared" si="4"/>
        <v>80</v>
      </c>
      <c r="AC13" s="120" t="str">
        <f t="shared" si="5"/>
        <v>D</v>
      </c>
      <c r="AD13" s="247">
        <f>'A-RACHNATMAK'!Z186</f>
        <v>40</v>
      </c>
      <c r="AE13" s="248"/>
      <c r="AF13" s="248"/>
      <c r="AG13" s="249">
        <f>'A-RACHNATMAK'!BA186</f>
        <v>40</v>
      </c>
      <c r="AH13" s="248"/>
      <c r="AI13" s="248"/>
      <c r="AJ13" s="119">
        <f t="shared" si="6"/>
        <v>80</v>
      </c>
      <c r="AK13" s="120" t="str">
        <f t="shared" si="7"/>
        <v>D</v>
      </c>
      <c r="AL13" s="71"/>
      <c r="AM13" s="247">
        <f>'A-RACHNATMAK'!Z144</f>
        <v>40</v>
      </c>
      <c r="AN13" s="248"/>
      <c r="AO13" s="248"/>
      <c r="AP13" s="249">
        <f>'A-RACHNATMAK'!BA144</f>
        <v>40</v>
      </c>
      <c r="AQ13" s="248"/>
      <c r="AR13" s="248"/>
      <c r="AS13" s="119">
        <f t="shared" si="8"/>
        <v>80</v>
      </c>
      <c r="AT13" s="120" t="str">
        <f t="shared" si="9"/>
        <v>D</v>
      </c>
      <c r="AU13" s="247">
        <f>'A-RACHNATMAK'!Z228</f>
        <v>40</v>
      </c>
      <c r="AV13" s="248"/>
      <c r="AW13" s="248"/>
      <c r="AX13" s="249">
        <f>'A-RACHNATMAK'!BA228</f>
        <v>40</v>
      </c>
      <c r="AY13" s="248"/>
      <c r="AZ13" s="248"/>
      <c r="BA13" s="119">
        <f t="shared" si="10"/>
        <v>80</v>
      </c>
      <c r="BB13" s="120" t="str">
        <f t="shared" si="11"/>
        <v>D</v>
      </c>
      <c r="BC13" s="247">
        <f>'A-RACHNATMAK'!Z270</f>
        <v>40</v>
      </c>
      <c r="BD13" s="248"/>
      <c r="BE13" s="248"/>
      <c r="BF13" s="249">
        <f>'A-RACHNATMAK'!BA270</f>
        <v>40</v>
      </c>
      <c r="BG13" s="248"/>
      <c r="BH13" s="248"/>
      <c r="BI13" s="119">
        <f t="shared" si="12"/>
        <v>80</v>
      </c>
      <c r="BJ13" s="120" t="str">
        <f t="shared" si="13"/>
        <v>D</v>
      </c>
      <c r="BK13" s="203">
        <f t="shared" ca="1" si="14"/>
        <v>0</v>
      </c>
      <c r="BL13" s="120" t="str">
        <f t="shared" ca="1" si="15"/>
        <v/>
      </c>
      <c r="BM13" s="127">
        <v>68</v>
      </c>
      <c r="BN13" s="127">
        <v>68</v>
      </c>
      <c r="BO13" s="127">
        <v>68</v>
      </c>
      <c r="BP13" s="127">
        <v>68</v>
      </c>
      <c r="BQ13" s="127">
        <v>76.666666666666671</v>
      </c>
      <c r="BR13" s="127">
        <v>68</v>
      </c>
      <c r="BS13" s="127">
        <v>77.142857142857139</v>
      </c>
      <c r="BT13" s="127">
        <v>34</v>
      </c>
      <c r="BU13" s="141">
        <f t="shared" ca="1" si="16"/>
        <v>518</v>
      </c>
      <c r="BV13" s="142">
        <f t="shared" ca="1" si="17"/>
        <v>28.78</v>
      </c>
      <c r="BW13" s="120" t="str">
        <f t="shared" ca="1" si="18"/>
        <v>E</v>
      </c>
    </row>
    <row r="14" spans="1:75" ht="17.25" customHeight="1">
      <c r="A14" s="237">
        <v>9</v>
      </c>
      <c r="B14" s="244" t="str">
        <f>'A-RACHNATMAK'!B271</f>
        <v>ડેર હિતેષકુમાર પ્રતાપભાઇ</v>
      </c>
      <c r="C14" s="245">
        <f>STUDENTS!D100</f>
        <v>0</v>
      </c>
      <c r="D14" s="246">
        <f>STUDENTS!D102</f>
        <v>0</v>
      </c>
      <c r="E14" s="247">
        <f>'A-RACHNATMAK'!Z19</f>
        <v>29</v>
      </c>
      <c r="F14" s="248"/>
      <c r="G14" s="248"/>
      <c r="H14" s="249">
        <f>'A-RACHNATMAK'!BA19</f>
        <v>31</v>
      </c>
      <c r="I14" s="248"/>
      <c r="J14" s="248"/>
      <c r="K14" s="119">
        <f t="shared" si="0"/>
        <v>60</v>
      </c>
      <c r="L14" s="120" t="str">
        <f t="shared" si="1"/>
        <v>E</v>
      </c>
      <c r="M14" s="247">
        <f>'A-RACHNATMAK'!Z61</f>
        <v>29</v>
      </c>
      <c r="N14" s="248"/>
      <c r="O14" s="248"/>
      <c r="P14" s="249">
        <f>'A-RACHNATMAK'!BA61</f>
        <v>29</v>
      </c>
      <c r="Q14" s="248"/>
      <c r="R14" s="248"/>
      <c r="S14" s="119">
        <f t="shared" si="2"/>
        <v>58</v>
      </c>
      <c r="T14" s="120" t="str">
        <f t="shared" si="3"/>
        <v>E</v>
      </c>
      <c r="U14" s="71"/>
      <c r="V14" s="247">
        <f>'A-RACHNATMAK'!Z103</f>
        <v>40</v>
      </c>
      <c r="W14" s="248"/>
      <c r="X14" s="248"/>
      <c r="Y14" s="249">
        <f>'A-RACHNATMAK'!BA103</f>
        <v>40</v>
      </c>
      <c r="Z14" s="248"/>
      <c r="AA14" s="248"/>
      <c r="AB14" s="119">
        <f t="shared" si="4"/>
        <v>80</v>
      </c>
      <c r="AC14" s="120" t="str">
        <f t="shared" si="5"/>
        <v>D</v>
      </c>
      <c r="AD14" s="247">
        <f>'A-RACHNATMAK'!Z187</f>
        <v>40</v>
      </c>
      <c r="AE14" s="248"/>
      <c r="AF14" s="248"/>
      <c r="AG14" s="249">
        <f>'A-RACHNATMAK'!BA187</f>
        <v>40</v>
      </c>
      <c r="AH14" s="248"/>
      <c r="AI14" s="248"/>
      <c r="AJ14" s="119">
        <f t="shared" si="6"/>
        <v>80</v>
      </c>
      <c r="AK14" s="120" t="str">
        <f t="shared" si="7"/>
        <v>D</v>
      </c>
      <c r="AL14" s="71"/>
      <c r="AM14" s="247">
        <f>'A-RACHNATMAK'!Z145</f>
        <v>40</v>
      </c>
      <c r="AN14" s="248"/>
      <c r="AO14" s="248"/>
      <c r="AP14" s="249">
        <f>'A-RACHNATMAK'!BA145</f>
        <v>40</v>
      </c>
      <c r="AQ14" s="248"/>
      <c r="AR14" s="248"/>
      <c r="AS14" s="119">
        <f t="shared" si="8"/>
        <v>80</v>
      </c>
      <c r="AT14" s="120" t="str">
        <f t="shared" si="9"/>
        <v>D</v>
      </c>
      <c r="AU14" s="247">
        <f>'A-RACHNATMAK'!Z229</f>
        <v>40</v>
      </c>
      <c r="AV14" s="248"/>
      <c r="AW14" s="248"/>
      <c r="AX14" s="249">
        <f>'A-RACHNATMAK'!BA229</f>
        <v>40</v>
      </c>
      <c r="AY14" s="248"/>
      <c r="AZ14" s="248"/>
      <c r="BA14" s="119">
        <f t="shared" si="10"/>
        <v>80</v>
      </c>
      <c r="BB14" s="120" t="str">
        <f t="shared" si="11"/>
        <v>D</v>
      </c>
      <c r="BC14" s="247">
        <f>'A-RACHNATMAK'!Z271</f>
        <v>40</v>
      </c>
      <c r="BD14" s="248"/>
      <c r="BE14" s="248"/>
      <c r="BF14" s="249">
        <f>'A-RACHNATMAK'!BA271</f>
        <v>40</v>
      </c>
      <c r="BG14" s="248"/>
      <c r="BH14" s="248"/>
      <c r="BI14" s="119">
        <f t="shared" si="12"/>
        <v>80</v>
      </c>
      <c r="BJ14" s="120" t="str">
        <f t="shared" si="13"/>
        <v>D</v>
      </c>
      <c r="BK14" s="203">
        <f t="shared" ca="1" si="14"/>
        <v>0</v>
      </c>
      <c r="BL14" s="120" t="str">
        <f t="shared" ca="1" si="15"/>
        <v/>
      </c>
      <c r="BM14" s="127">
        <v>68</v>
      </c>
      <c r="BN14" s="127">
        <v>68</v>
      </c>
      <c r="BO14" s="127">
        <v>68</v>
      </c>
      <c r="BP14" s="127">
        <v>68</v>
      </c>
      <c r="BQ14" s="127">
        <v>76.666666666666671</v>
      </c>
      <c r="BR14" s="127">
        <v>68</v>
      </c>
      <c r="BS14" s="127">
        <v>77.142857142857139</v>
      </c>
      <c r="BT14" s="127">
        <v>34</v>
      </c>
      <c r="BU14" s="141">
        <f t="shared" ca="1" si="16"/>
        <v>518</v>
      </c>
      <c r="BV14" s="142">
        <f t="shared" ca="1" si="17"/>
        <v>28.78</v>
      </c>
      <c r="BW14" s="120" t="str">
        <f t="shared" ca="1" si="18"/>
        <v>E</v>
      </c>
    </row>
    <row r="15" spans="1:75" ht="17.25" customHeight="1">
      <c r="A15" s="237">
        <v>10</v>
      </c>
      <c r="B15" s="244" t="str">
        <f>'A-RACHNATMAK'!B272</f>
        <v>વેકરીયા વિશાલકુમાર દિપકભાઇ</v>
      </c>
      <c r="C15" s="245">
        <f>STUDENTS!D112</f>
        <v>0</v>
      </c>
      <c r="D15" s="246">
        <f>STUDENTS!D114</f>
        <v>0</v>
      </c>
      <c r="E15" s="247">
        <f>'A-RACHNATMAK'!Z20</f>
        <v>24</v>
      </c>
      <c r="F15" s="248"/>
      <c r="G15" s="248"/>
      <c r="H15" s="249">
        <f>'A-RACHNATMAK'!BA20</f>
        <v>26</v>
      </c>
      <c r="I15" s="248"/>
      <c r="J15" s="248"/>
      <c r="K15" s="119">
        <f t="shared" si="0"/>
        <v>50</v>
      </c>
      <c r="L15" s="120" t="str">
        <f t="shared" si="1"/>
        <v>E</v>
      </c>
      <c r="M15" s="247">
        <f>'A-RACHNATMAK'!Z62</f>
        <v>24</v>
      </c>
      <c r="N15" s="248"/>
      <c r="O15" s="248"/>
      <c r="P15" s="249">
        <f>'A-RACHNATMAK'!BA62</f>
        <v>21</v>
      </c>
      <c r="Q15" s="248"/>
      <c r="R15" s="248"/>
      <c r="S15" s="119">
        <f t="shared" si="2"/>
        <v>45</v>
      </c>
      <c r="T15" s="120" t="str">
        <f t="shared" si="3"/>
        <v>E</v>
      </c>
      <c r="U15" s="71"/>
      <c r="V15" s="247">
        <f>'A-RACHNATMAK'!Z104</f>
        <v>40</v>
      </c>
      <c r="W15" s="248"/>
      <c r="X15" s="248"/>
      <c r="Y15" s="249">
        <f>'A-RACHNATMAK'!BA104</f>
        <v>40</v>
      </c>
      <c r="Z15" s="248"/>
      <c r="AA15" s="248"/>
      <c r="AB15" s="119">
        <f t="shared" si="4"/>
        <v>80</v>
      </c>
      <c r="AC15" s="120" t="str">
        <f t="shared" si="5"/>
        <v>D</v>
      </c>
      <c r="AD15" s="247">
        <f>'A-RACHNATMAK'!Z188</f>
        <v>40</v>
      </c>
      <c r="AE15" s="248"/>
      <c r="AF15" s="248"/>
      <c r="AG15" s="249">
        <f>'A-RACHNATMAK'!BA188</f>
        <v>40</v>
      </c>
      <c r="AH15" s="248"/>
      <c r="AI15" s="248"/>
      <c r="AJ15" s="119">
        <f t="shared" si="6"/>
        <v>80</v>
      </c>
      <c r="AK15" s="120" t="str">
        <f t="shared" si="7"/>
        <v>D</v>
      </c>
      <c r="AL15" s="71"/>
      <c r="AM15" s="247">
        <f>'A-RACHNATMAK'!Z146</f>
        <v>40</v>
      </c>
      <c r="AN15" s="248"/>
      <c r="AO15" s="248"/>
      <c r="AP15" s="249">
        <f>'A-RACHNATMAK'!BA146</f>
        <v>40</v>
      </c>
      <c r="AQ15" s="248"/>
      <c r="AR15" s="248"/>
      <c r="AS15" s="119">
        <f t="shared" si="8"/>
        <v>80</v>
      </c>
      <c r="AT15" s="120" t="str">
        <f t="shared" si="9"/>
        <v>D</v>
      </c>
      <c r="AU15" s="247">
        <f>'A-RACHNATMAK'!Z230</f>
        <v>40</v>
      </c>
      <c r="AV15" s="248"/>
      <c r="AW15" s="248"/>
      <c r="AX15" s="249">
        <f>'A-RACHNATMAK'!BA230</f>
        <v>40</v>
      </c>
      <c r="AY15" s="248"/>
      <c r="AZ15" s="248"/>
      <c r="BA15" s="119">
        <f t="shared" si="10"/>
        <v>80</v>
      </c>
      <c r="BB15" s="120" t="str">
        <f t="shared" si="11"/>
        <v>D</v>
      </c>
      <c r="BC15" s="247">
        <f>'A-RACHNATMAK'!Z272</f>
        <v>40</v>
      </c>
      <c r="BD15" s="248"/>
      <c r="BE15" s="248"/>
      <c r="BF15" s="249">
        <f>'A-RACHNATMAK'!BA272</f>
        <v>40</v>
      </c>
      <c r="BG15" s="248"/>
      <c r="BH15" s="248"/>
      <c r="BI15" s="119">
        <f t="shared" si="12"/>
        <v>80</v>
      </c>
      <c r="BJ15" s="120" t="str">
        <f t="shared" si="13"/>
        <v>D</v>
      </c>
      <c r="BK15" s="203">
        <f t="shared" ca="1" si="14"/>
        <v>0</v>
      </c>
      <c r="BL15" s="120" t="str">
        <f t="shared" ca="1" si="15"/>
        <v/>
      </c>
      <c r="BM15" s="127">
        <v>68</v>
      </c>
      <c r="BN15" s="127">
        <v>68</v>
      </c>
      <c r="BO15" s="127">
        <v>68</v>
      </c>
      <c r="BP15" s="127">
        <v>68</v>
      </c>
      <c r="BQ15" s="127">
        <v>76.666666666666671</v>
      </c>
      <c r="BR15" s="127">
        <v>68</v>
      </c>
      <c r="BS15" s="127">
        <v>77.142857142857139</v>
      </c>
      <c r="BT15" s="127">
        <v>34</v>
      </c>
      <c r="BU15" s="141">
        <f t="shared" ca="1" si="16"/>
        <v>495</v>
      </c>
      <c r="BV15" s="142">
        <f t="shared" ca="1" si="17"/>
        <v>27.5</v>
      </c>
      <c r="BW15" s="120" t="str">
        <f t="shared" ca="1" si="18"/>
        <v>E</v>
      </c>
    </row>
    <row r="16" spans="1:75" ht="17.25" customHeight="1">
      <c r="A16" s="237">
        <v>11</v>
      </c>
      <c r="B16" s="244" t="str">
        <f>'A-RACHNATMAK'!B273</f>
        <v>માણસુરીયા મહેન્દ્રભાઇ ભૂપતભાઇ</v>
      </c>
      <c r="C16" s="245">
        <f>STUDENTS!D124</f>
        <v>0</v>
      </c>
      <c r="D16" s="246">
        <f>STUDENTS!D126</f>
        <v>0</v>
      </c>
      <c r="E16" s="247">
        <f>'A-RACHNATMAK'!Z21</f>
        <v>29</v>
      </c>
      <c r="F16" s="248"/>
      <c r="G16" s="248"/>
      <c r="H16" s="249">
        <f>'A-RACHNATMAK'!BA21</f>
        <v>31</v>
      </c>
      <c r="I16" s="248"/>
      <c r="J16" s="248"/>
      <c r="K16" s="119">
        <f t="shared" si="0"/>
        <v>60</v>
      </c>
      <c r="L16" s="120" t="str">
        <f t="shared" si="1"/>
        <v>E</v>
      </c>
      <c r="M16" s="247">
        <f>'A-RACHNATMAK'!Z63</f>
        <v>29</v>
      </c>
      <c r="N16" s="248"/>
      <c r="O16" s="248"/>
      <c r="P16" s="249">
        <f>'A-RACHNATMAK'!BA63</f>
        <v>29</v>
      </c>
      <c r="Q16" s="248"/>
      <c r="R16" s="248"/>
      <c r="S16" s="119">
        <f t="shared" si="2"/>
        <v>58</v>
      </c>
      <c r="T16" s="120" t="str">
        <f t="shared" si="3"/>
        <v>E</v>
      </c>
      <c r="U16" s="71"/>
      <c r="V16" s="247">
        <f>'A-RACHNATMAK'!Z105</f>
        <v>40</v>
      </c>
      <c r="W16" s="248"/>
      <c r="X16" s="248"/>
      <c r="Y16" s="249">
        <f>'A-RACHNATMAK'!BA105</f>
        <v>40</v>
      </c>
      <c r="Z16" s="248"/>
      <c r="AA16" s="248"/>
      <c r="AB16" s="119">
        <f t="shared" si="4"/>
        <v>80</v>
      </c>
      <c r="AC16" s="120" t="str">
        <f t="shared" si="5"/>
        <v>D</v>
      </c>
      <c r="AD16" s="247">
        <f>'A-RACHNATMAK'!Z189</f>
        <v>40</v>
      </c>
      <c r="AE16" s="248"/>
      <c r="AF16" s="248"/>
      <c r="AG16" s="249">
        <f>'A-RACHNATMAK'!BA189</f>
        <v>40</v>
      </c>
      <c r="AH16" s="248"/>
      <c r="AI16" s="248"/>
      <c r="AJ16" s="119">
        <f t="shared" si="6"/>
        <v>80</v>
      </c>
      <c r="AK16" s="120" t="str">
        <f t="shared" si="7"/>
        <v>D</v>
      </c>
      <c r="AL16" s="71"/>
      <c r="AM16" s="247">
        <f>'A-RACHNATMAK'!Z147</f>
        <v>40</v>
      </c>
      <c r="AN16" s="248"/>
      <c r="AO16" s="248"/>
      <c r="AP16" s="249">
        <f>'A-RACHNATMAK'!BA147</f>
        <v>40</v>
      </c>
      <c r="AQ16" s="248"/>
      <c r="AR16" s="248"/>
      <c r="AS16" s="119">
        <f t="shared" si="8"/>
        <v>80</v>
      </c>
      <c r="AT16" s="120" t="str">
        <f t="shared" si="9"/>
        <v>D</v>
      </c>
      <c r="AU16" s="247">
        <f>'A-RACHNATMAK'!Z231</f>
        <v>40</v>
      </c>
      <c r="AV16" s="248"/>
      <c r="AW16" s="248"/>
      <c r="AX16" s="249">
        <f>'A-RACHNATMAK'!BA231</f>
        <v>40</v>
      </c>
      <c r="AY16" s="248"/>
      <c r="AZ16" s="248"/>
      <c r="BA16" s="119">
        <f t="shared" si="10"/>
        <v>80</v>
      </c>
      <c r="BB16" s="120" t="str">
        <f t="shared" si="11"/>
        <v>D</v>
      </c>
      <c r="BC16" s="247">
        <f>'A-RACHNATMAK'!Z273</f>
        <v>40</v>
      </c>
      <c r="BD16" s="248"/>
      <c r="BE16" s="248"/>
      <c r="BF16" s="249">
        <f>'A-RACHNATMAK'!BA273</f>
        <v>40</v>
      </c>
      <c r="BG16" s="248"/>
      <c r="BH16" s="248"/>
      <c r="BI16" s="119">
        <f t="shared" si="12"/>
        <v>80</v>
      </c>
      <c r="BJ16" s="120" t="str">
        <f t="shared" si="13"/>
        <v>D</v>
      </c>
      <c r="BK16" s="203">
        <f t="shared" ca="1" si="14"/>
        <v>0</v>
      </c>
      <c r="BL16" s="120" t="str">
        <f t="shared" ca="1" si="15"/>
        <v/>
      </c>
      <c r="BM16" s="127">
        <v>68</v>
      </c>
      <c r="BN16" s="127">
        <v>68</v>
      </c>
      <c r="BO16" s="127">
        <v>68</v>
      </c>
      <c r="BP16" s="127">
        <v>68</v>
      </c>
      <c r="BQ16" s="127">
        <v>76.666666666666671</v>
      </c>
      <c r="BR16" s="127">
        <v>68</v>
      </c>
      <c r="BS16" s="127">
        <v>77.142857142857139</v>
      </c>
      <c r="BT16" s="127">
        <v>34</v>
      </c>
      <c r="BU16" s="141">
        <f t="shared" ca="1" si="16"/>
        <v>518</v>
      </c>
      <c r="BV16" s="142">
        <f t="shared" ca="1" si="17"/>
        <v>28.78</v>
      </c>
      <c r="BW16" s="120" t="str">
        <f t="shared" ca="1" si="18"/>
        <v>E</v>
      </c>
    </row>
    <row r="17" spans="1:75" ht="17.25" customHeight="1">
      <c r="A17" s="237">
        <v>12</v>
      </c>
      <c r="B17" s="244" t="str">
        <f>'A-RACHNATMAK'!B274</f>
        <v>પરમાર અજયકુમાર રમેશભાઇ</v>
      </c>
      <c r="C17" s="245">
        <f>STUDENTS!D136</f>
        <v>1777</v>
      </c>
      <c r="D17" s="246">
        <f>STUDENTS!D138</f>
        <v>0</v>
      </c>
      <c r="E17" s="247">
        <f>'A-RACHNATMAK'!Z22</f>
        <v>29</v>
      </c>
      <c r="F17" s="248"/>
      <c r="G17" s="248"/>
      <c r="H17" s="249">
        <f>'A-RACHNATMAK'!BA22</f>
        <v>31</v>
      </c>
      <c r="I17" s="248"/>
      <c r="J17" s="248"/>
      <c r="K17" s="119">
        <f t="shared" si="0"/>
        <v>60</v>
      </c>
      <c r="L17" s="120" t="str">
        <f t="shared" si="1"/>
        <v>E</v>
      </c>
      <c r="M17" s="247">
        <f>'A-RACHNATMAK'!Z64</f>
        <v>29</v>
      </c>
      <c r="N17" s="248"/>
      <c r="O17" s="248"/>
      <c r="P17" s="249">
        <f>'A-RACHNATMAK'!BA64</f>
        <v>29</v>
      </c>
      <c r="Q17" s="248"/>
      <c r="R17" s="248"/>
      <c r="S17" s="119">
        <f t="shared" si="2"/>
        <v>58</v>
      </c>
      <c r="T17" s="120" t="str">
        <f t="shared" si="3"/>
        <v>E</v>
      </c>
      <c r="U17" s="71"/>
      <c r="V17" s="247">
        <f>'A-RACHNATMAK'!Z106</f>
        <v>40</v>
      </c>
      <c r="W17" s="248"/>
      <c r="X17" s="248"/>
      <c r="Y17" s="249">
        <f>'A-RACHNATMAK'!BA106</f>
        <v>40</v>
      </c>
      <c r="Z17" s="248"/>
      <c r="AA17" s="248"/>
      <c r="AB17" s="119">
        <f t="shared" si="4"/>
        <v>80</v>
      </c>
      <c r="AC17" s="120" t="str">
        <f t="shared" si="5"/>
        <v>D</v>
      </c>
      <c r="AD17" s="247">
        <f>'A-RACHNATMAK'!Z190</f>
        <v>40</v>
      </c>
      <c r="AE17" s="248"/>
      <c r="AF17" s="248"/>
      <c r="AG17" s="249">
        <f>'A-RACHNATMAK'!BA190</f>
        <v>40</v>
      </c>
      <c r="AH17" s="248"/>
      <c r="AI17" s="248"/>
      <c r="AJ17" s="119">
        <f t="shared" si="6"/>
        <v>80</v>
      </c>
      <c r="AK17" s="120" t="str">
        <f t="shared" si="7"/>
        <v>D</v>
      </c>
      <c r="AL17" s="71"/>
      <c r="AM17" s="247">
        <f>'A-RACHNATMAK'!Z148</f>
        <v>40</v>
      </c>
      <c r="AN17" s="248"/>
      <c r="AO17" s="248"/>
      <c r="AP17" s="249">
        <f>'A-RACHNATMAK'!BA148</f>
        <v>40</v>
      </c>
      <c r="AQ17" s="248"/>
      <c r="AR17" s="248"/>
      <c r="AS17" s="119">
        <f t="shared" si="8"/>
        <v>80</v>
      </c>
      <c r="AT17" s="120" t="str">
        <f t="shared" si="9"/>
        <v>D</v>
      </c>
      <c r="AU17" s="247">
        <f>'A-RACHNATMAK'!Z232</f>
        <v>40</v>
      </c>
      <c r="AV17" s="248"/>
      <c r="AW17" s="248"/>
      <c r="AX17" s="249">
        <f>'A-RACHNATMAK'!BA232</f>
        <v>40</v>
      </c>
      <c r="AY17" s="248"/>
      <c r="AZ17" s="248"/>
      <c r="BA17" s="119">
        <f t="shared" si="10"/>
        <v>80</v>
      </c>
      <c r="BB17" s="120" t="str">
        <f t="shared" si="11"/>
        <v>D</v>
      </c>
      <c r="BC17" s="247">
        <f>'A-RACHNATMAK'!Z274</f>
        <v>40</v>
      </c>
      <c r="BD17" s="248"/>
      <c r="BE17" s="248"/>
      <c r="BF17" s="249">
        <f>'A-RACHNATMAK'!BA274</f>
        <v>40</v>
      </c>
      <c r="BG17" s="248"/>
      <c r="BH17" s="248"/>
      <c r="BI17" s="119">
        <f t="shared" si="12"/>
        <v>80</v>
      </c>
      <c r="BJ17" s="120" t="str">
        <f t="shared" si="13"/>
        <v>D</v>
      </c>
      <c r="BK17" s="203">
        <f t="shared" ca="1" si="14"/>
        <v>0</v>
      </c>
      <c r="BL17" s="120" t="str">
        <f t="shared" ca="1" si="15"/>
        <v/>
      </c>
      <c r="BM17" s="127">
        <v>68</v>
      </c>
      <c r="BN17" s="127">
        <v>68</v>
      </c>
      <c r="BO17" s="127">
        <v>68</v>
      </c>
      <c r="BP17" s="127">
        <v>68</v>
      </c>
      <c r="BQ17" s="127">
        <v>76.666666666666671</v>
      </c>
      <c r="BR17" s="127">
        <v>68</v>
      </c>
      <c r="BS17" s="127">
        <v>77.142857142857139</v>
      </c>
      <c r="BT17" s="127">
        <v>34</v>
      </c>
      <c r="BU17" s="141">
        <f t="shared" ca="1" si="16"/>
        <v>518</v>
      </c>
      <c r="BV17" s="142">
        <f t="shared" ca="1" si="17"/>
        <v>28.78</v>
      </c>
      <c r="BW17" s="120" t="str">
        <f t="shared" ca="1" si="18"/>
        <v>E</v>
      </c>
    </row>
    <row r="18" spans="1:75" ht="17.25" customHeight="1">
      <c r="A18" s="237">
        <v>13</v>
      </c>
      <c r="B18" s="244" t="str">
        <f>'A-RACHNATMAK'!B275</f>
        <v>કંડોળીયા અલ્પેશકુમાર ભરતભાઇ</v>
      </c>
      <c r="C18" s="245">
        <f>STUDENTS!D148</f>
        <v>0</v>
      </c>
      <c r="D18" s="246">
        <f>STUDENTS!D150</f>
        <v>0</v>
      </c>
      <c r="E18" s="247">
        <f>'A-RACHNATMAK'!Z23</f>
        <v>27</v>
      </c>
      <c r="F18" s="248"/>
      <c r="G18" s="248"/>
      <c r="H18" s="249">
        <f>'A-RACHNATMAK'!BA23</f>
        <v>29</v>
      </c>
      <c r="I18" s="248"/>
      <c r="J18" s="248"/>
      <c r="K18" s="119">
        <f t="shared" si="0"/>
        <v>56</v>
      </c>
      <c r="L18" s="120" t="str">
        <f t="shared" si="1"/>
        <v>E</v>
      </c>
      <c r="M18" s="247">
        <f>'A-RACHNATMAK'!Z65</f>
        <v>27</v>
      </c>
      <c r="N18" s="248"/>
      <c r="O18" s="248"/>
      <c r="P18" s="249">
        <f>'A-RACHNATMAK'!BA65</f>
        <v>27</v>
      </c>
      <c r="Q18" s="248"/>
      <c r="R18" s="248"/>
      <c r="S18" s="119">
        <f t="shared" si="2"/>
        <v>54</v>
      </c>
      <c r="T18" s="120" t="str">
        <f t="shared" si="3"/>
        <v>E</v>
      </c>
      <c r="U18" s="71"/>
      <c r="V18" s="247">
        <f>'A-RACHNATMAK'!Z107</f>
        <v>0</v>
      </c>
      <c r="W18" s="248"/>
      <c r="X18" s="248"/>
      <c r="Y18" s="249">
        <f>'A-RACHNATMAK'!BA107</f>
        <v>0</v>
      </c>
      <c r="Z18" s="248"/>
      <c r="AA18" s="248"/>
      <c r="AB18" s="119">
        <f t="shared" si="4"/>
        <v>0</v>
      </c>
      <c r="AC18" s="120" t="str">
        <f t="shared" si="5"/>
        <v/>
      </c>
      <c r="AD18" s="247">
        <f>'A-RACHNATMAK'!Z191</f>
        <v>0</v>
      </c>
      <c r="AE18" s="248"/>
      <c r="AF18" s="248"/>
      <c r="AG18" s="249">
        <f>'A-RACHNATMAK'!BA191</f>
        <v>0</v>
      </c>
      <c r="AH18" s="248"/>
      <c r="AI18" s="248"/>
      <c r="AJ18" s="119">
        <f t="shared" si="6"/>
        <v>0</v>
      </c>
      <c r="AK18" s="120" t="str">
        <f t="shared" si="7"/>
        <v/>
      </c>
      <c r="AL18" s="71"/>
      <c r="AM18" s="247">
        <f>'A-RACHNATMAK'!Z149</f>
        <v>0</v>
      </c>
      <c r="AN18" s="248"/>
      <c r="AO18" s="248"/>
      <c r="AP18" s="249">
        <f>'A-RACHNATMAK'!BA149</f>
        <v>0</v>
      </c>
      <c r="AQ18" s="248"/>
      <c r="AR18" s="248"/>
      <c r="AS18" s="119">
        <f t="shared" si="8"/>
        <v>0</v>
      </c>
      <c r="AT18" s="120" t="str">
        <f t="shared" si="9"/>
        <v/>
      </c>
      <c r="AU18" s="247">
        <f>'A-RACHNATMAK'!Z233</f>
        <v>0</v>
      </c>
      <c r="AV18" s="248"/>
      <c r="AW18" s="248"/>
      <c r="AX18" s="249">
        <f>'A-RACHNATMAK'!BA233</f>
        <v>0</v>
      </c>
      <c r="AY18" s="248"/>
      <c r="AZ18" s="248"/>
      <c r="BA18" s="119">
        <f t="shared" si="10"/>
        <v>0</v>
      </c>
      <c r="BB18" s="120" t="str">
        <f t="shared" si="11"/>
        <v/>
      </c>
      <c r="BC18" s="247">
        <f>'A-RACHNATMAK'!Z275</f>
        <v>0</v>
      </c>
      <c r="BD18" s="248"/>
      <c r="BE18" s="248"/>
      <c r="BF18" s="249">
        <f>'A-RACHNATMAK'!BA275</f>
        <v>0</v>
      </c>
      <c r="BG18" s="248"/>
      <c r="BH18" s="248"/>
      <c r="BI18" s="119">
        <f t="shared" si="12"/>
        <v>0</v>
      </c>
      <c r="BJ18" s="120" t="str">
        <f t="shared" si="13"/>
        <v/>
      </c>
      <c r="BK18" s="203">
        <f t="shared" ca="1" si="14"/>
        <v>0</v>
      </c>
      <c r="BL18" s="120" t="str">
        <f t="shared" ca="1" si="15"/>
        <v/>
      </c>
      <c r="BM18" s="127">
        <v>68</v>
      </c>
      <c r="BN18" s="127">
        <v>68</v>
      </c>
      <c r="BO18" s="127">
        <v>68</v>
      </c>
      <c r="BP18" s="127">
        <v>68</v>
      </c>
      <c r="BQ18" s="127">
        <v>76.666666666666671</v>
      </c>
      <c r="BR18" s="127">
        <v>68</v>
      </c>
      <c r="BS18" s="127">
        <v>77.142857142857139</v>
      </c>
      <c r="BT18" s="127">
        <v>34</v>
      </c>
      <c r="BU18" s="141">
        <f t="shared" ca="1" si="16"/>
        <v>110</v>
      </c>
      <c r="BV18" s="142">
        <f t="shared" ca="1" si="17"/>
        <v>6.11</v>
      </c>
      <c r="BW18" s="120" t="str">
        <f t="shared" ca="1" si="18"/>
        <v>E</v>
      </c>
    </row>
    <row r="19" spans="1:75" ht="17.25" customHeight="1">
      <c r="A19" s="237">
        <v>14</v>
      </c>
      <c r="B19" s="244" t="str">
        <f>'A-RACHNATMAK'!B276</f>
        <v>મકવાણા તરંગકુમાર કિશોરભાઇ</v>
      </c>
      <c r="C19" s="245">
        <f>STUDENTS!D160</f>
        <v>0</v>
      </c>
      <c r="D19" s="246">
        <f>STUDENTS!D162</f>
        <v>0</v>
      </c>
      <c r="E19" s="247">
        <f>'A-RACHNATMAK'!Z24</f>
        <v>29</v>
      </c>
      <c r="F19" s="248"/>
      <c r="G19" s="248"/>
      <c r="H19" s="249">
        <f>'A-RACHNATMAK'!BA24</f>
        <v>31</v>
      </c>
      <c r="I19" s="248"/>
      <c r="J19" s="248"/>
      <c r="K19" s="119">
        <f t="shared" si="0"/>
        <v>60</v>
      </c>
      <c r="L19" s="120" t="str">
        <f t="shared" si="1"/>
        <v>E</v>
      </c>
      <c r="M19" s="247">
        <f>'A-RACHNATMAK'!Z66</f>
        <v>29</v>
      </c>
      <c r="N19" s="248"/>
      <c r="O19" s="248"/>
      <c r="P19" s="249">
        <f>'A-RACHNATMAK'!BA66</f>
        <v>29</v>
      </c>
      <c r="Q19" s="248"/>
      <c r="R19" s="248"/>
      <c r="S19" s="119">
        <f t="shared" si="2"/>
        <v>58</v>
      </c>
      <c r="T19" s="120" t="str">
        <f t="shared" si="3"/>
        <v>E</v>
      </c>
      <c r="U19" s="71"/>
      <c r="V19" s="247">
        <f>'A-RACHNATMAK'!Z108</f>
        <v>40</v>
      </c>
      <c r="W19" s="248"/>
      <c r="X19" s="248"/>
      <c r="Y19" s="249">
        <f>'A-RACHNATMAK'!BA108</f>
        <v>40</v>
      </c>
      <c r="Z19" s="248"/>
      <c r="AA19" s="248"/>
      <c r="AB19" s="119">
        <f t="shared" si="4"/>
        <v>80</v>
      </c>
      <c r="AC19" s="120" t="str">
        <f t="shared" si="5"/>
        <v>D</v>
      </c>
      <c r="AD19" s="247">
        <f>'A-RACHNATMAK'!Z192</f>
        <v>40</v>
      </c>
      <c r="AE19" s="248"/>
      <c r="AF19" s="248"/>
      <c r="AG19" s="249">
        <f>'A-RACHNATMAK'!BA192</f>
        <v>40</v>
      </c>
      <c r="AH19" s="248"/>
      <c r="AI19" s="248"/>
      <c r="AJ19" s="119">
        <f t="shared" si="6"/>
        <v>80</v>
      </c>
      <c r="AK19" s="120" t="str">
        <f t="shared" si="7"/>
        <v>D</v>
      </c>
      <c r="AL19" s="71"/>
      <c r="AM19" s="247">
        <f>'A-RACHNATMAK'!Z150</f>
        <v>40</v>
      </c>
      <c r="AN19" s="248"/>
      <c r="AO19" s="248"/>
      <c r="AP19" s="249">
        <f>'A-RACHNATMAK'!BA150</f>
        <v>40</v>
      </c>
      <c r="AQ19" s="248"/>
      <c r="AR19" s="248"/>
      <c r="AS19" s="119">
        <f t="shared" si="8"/>
        <v>80</v>
      </c>
      <c r="AT19" s="120" t="str">
        <f t="shared" si="9"/>
        <v>D</v>
      </c>
      <c r="AU19" s="247">
        <f>'A-RACHNATMAK'!Z234</f>
        <v>40</v>
      </c>
      <c r="AV19" s="248"/>
      <c r="AW19" s="248"/>
      <c r="AX19" s="249">
        <f>'A-RACHNATMAK'!BA234</f>
        <v>40</v>
      </c>
      <c r="AY19" s="248"/>
      <c r="AZ19" s="248"/>
      <c r="BA19" s="119">
        <f t="shared" si="10"/>
        <v>80</v>
      </c>
      <c r="BB19" s="120" t="str">
        <f t="shared" si="11"/>
        <v>D</v>
      </c>
      <c r="BC19" s="247">
        <f>'A-RACHNATMAK'!Z276</f>
        <v>40</v>
      </c>
      <c r="BD19" s="248"/>
      <c r="BE19" s="248"/>
      <c r="BF19" s="249">
        <f>'A-RACHNATMAK'!BA276</f>
        <v>40</v>
      </c>
      <c r="BG19" s="248"/>
      <c r="BH19" s="248"/>
      <c r="BI19" s="119">
        <f t="shared" si="12"/>
        <v>80</v>
      </c>
      <c r="BJ19" s="120" t="str">
        <f t="shared" si="13"/>
        <v>D</v>
      </c>
      <c r="BK19" s="203">
        <f t="shared" ca="1" si="14"/>
        <v>0</v>
      </c>
      <c r="BL19" s="120" t="str">
        <f t="shared" ca="1" si="15"/>
        <v/>
      </c>
      <c r="BM19" s="127">
        <v>68</v>
      </c>
      <c r="BN19" s="127">
        <v>68</v>
      </c>
      <c r="BO19" s="127">
        <v>68</v>
      </c>
      <c r="BP19" s="127">
        <v>68</v>
      </c>
      <c r="BQ19" s="127">
        <v>76.666666666666671</v>
      </c>
      <c r="BR19" s="127">
        <v>68</v>
      </c>
      <c r="BS19" s="127">
        <v>77.142857142857139</v>
      </c>
      <c r="BT19" s="127">
        <v>34</v>
      </c>
      <c r="BU19" s="141">
        <f t="shared" ca="1" si="16"/>
        <v>518</v>
      </c>
      <c r="BV19" s="142">
        <f t="shared" ca="1" si="17"/>
        <v>28.78</v>
      </c>
      <c r="BW19" s="120" t="str">
        <f t="shared" ca="1" si="18"/>
        <v>E</v>
      </c>
    </row>
    <row r="20" spans="1:75" ht="17.25" customHeight="1">
      <c r="A20" s="237">
        <v>15</v>
      </c>
      <c r="B20" s="244" t="str">
        <f>'A-RACHNATMAK'!B277</f>
        <v>ઢીમેચા સતીષ હનુભાઇ</v>
      </c>
      <c r="C20" s="245">
        <f>STUDENTS!D172</f>
        <v>0</v>
      </c>
      <c r="D20" s="246">
        <f>STUDENTS!D174</f>
        <v>0</v>
      </c>
      <c r="E20" s="247">
        <f>'A-RACHNATMAK'!Z25</f>
        <v>29</v>
      </c>
      <c r="F20" s="248"/>
      <c r="G20" s="248"/>
      <c r="H20" s="249">
        <f>'A-RACHNATMAK'!BA25</f>
        <v>31</v>
      </c>
      <c r="I20" s="248"/>
      <c r="J20" s="248"/>
      <c r="K20" s="119">
        <f t="shared" si="0"/>
        <v>60</v>
      </c>
      <c r="L20" s="120" t="str">
        <f t="shared" si="1"/>
        <v>E</v>
      </c>
      <c r="M20" s="247">
        <f>'A-RACHNATMAK'!Z67</f>
        <v>29</v>
      </c>
      <c r="N20" s="248"/>
      <c r="O20" s="248"/>
      <c r="P20" s="249">
        <f>'A-RACHNATMAK'!BA67</f>
        <v>29</v>
      </c>
      <c r="Q20" s="248"/>
      <c r="R20" s="248"/>
      <c r="S20" s="119">
        <f t="shared" si="2"/>
        <v>58</v>
      </c>
      <c r="T20" s="120" t="str">
        <f t="shared" si="3"/>
        <v>E</v>
      </c>
      <c r="U20" s="71"/>
      <c r="V20" s="247">
        <f>'A-RACHNATMAK'!Z109</f>
        <v>40</v>
      </c>
      <c r="W20" s="248"/>
      <c r="X20" s="248"/>
      <c r="Y20" s="249">
        <f>'A-RACHNATMAK'!BA109</f>
        <v>40</v>
      </c>
      <c r="Z20" s="248"/>
      <c r="AA20" s="248"/>
      <c r="AB20" s="119">
        <f t="shared" si="4"/>
        <v>80</v>
      </c>
      <c r="AC20" s="120" t="str">
        <f t="shared" si="5"/>
        <v>D</v>
      </c>
      <c r="AD20" s="247">
        <f>'A-RACHNATMAK'!Z193</f>
        <v>40</v>
      </c>
      <c r="AE20" s="248"/>
      <c r="AF20" s="248"/>
      <c r="AG20" s="249">
        <f>'A-RACHNATMAK'!BA193</f>
        <v>40</v>
      </c>
      <c r="AH20" s="248"/>
      <c r="AI20" s="248"/>
      <c r="AJ20" s="119">
        <f t="shared" si="6"/>
        <v>80</v>
      </c>
      <c r="AK20" s="120" t="str">
        <f t="shared" si="7"/>
        <v>D</v>
      </c>
      <c r="AL20" s="71"/>
      <c r="AM20" s="247">
        <f>'A-RACHNATMAK'!Z151</f>
        <v>40</v>
      </c>
      <c r="AN20" s="248"/>
      <c r="AO20" s="248"/>
      <c r="AP20" s="249">
        <f>'A-RACHNATMAK'!BA151</f>
        <v>40</v>
      </c>
      <c r="AQ20" s="248"/>
      <c r="AR20" s="248"/>
      <c r="AS20" s="119">
        <f t="shared" si="8"/>
        <v>80</v>
      </c>
      <c r="AT20" s="120" t="str">
        <f t="shared" si="9"/>
        <v>D</v>
      </c>
      <c r="AU20" s="247">
        <f>'A-RACHNATMAK'!Z235</f>
        <v>40</v>
      </c>
      <c r="AV20" s="248"/>
      <c r="AW20" s="248"/>
      <c r="AX20" s="249">
        <f>'A-RACHNATMAK'!BA235</f>
        <v>40</v>
      </c>
      <c r="AY20" s="248"/>
      <c r="AZ20" s="248"/>
      <c r="BA20" s="119">
        <f t="shared" si="10"/>
        <v>80</v>
      </c>
      <c r="BB20" s="120" t="str">
        <f t="shared" si="11"/>
        <v>D</v>
      </c>
      <c r="BC20" s="247">
        <f>'A-RACHNATMAK'!Z277</f>
        <v>40</v>
      </c>
      <c r="BD20" s="248"/>
      <c r="BE20" s="248"/>
      <c r="BF20" s="249">
        <f>'A-RACHNATMAK'!BA277</f>
        <v>40</v>
      </c>
      <c r="BG20" s="248"/>
      <c r="BH20" s="248"/>
      <c r="BI20" s="119">
        <f t="shared" si="12"/>
        <v>80</v>
      </c>
      <c r="BJ20" s="120" t="str">
        <f t="shared" si="13"/>
        <v>D</v>
      </c>
      <c r="BK20" s="203">
        <f t="shared" ca="1" si="14"/>
        <v>0</v>
      </c>
      <c r="BL20" s="120" t="str">
        <f t="shared" ca="1" si="15"/>
        <v/>
      </c>
      <c r="BM20" s="127">
        <v>68</v>
      </c>
      <c r="BN20" s="127">
        <v>68</v>
      </c>
      <c r="BO20" s="127">
        <v>68</v>
      </c>
      <c r="BP20" s="127">
        <v>68</v>
      </c>
      <c r="BQ20" s="127">
        <v>76.666666666666671</v>
      </c>
      <c r="BR20" s="127">
        <v>68</v>
      </c>
      <c r="BS20" s="127">
        <v>77.142857142857139</v>
      </c>
      <c r="BT20" s="127">
        <v>34</v>
      </c>
      <c r="BU20" s="141">
        <f t="shared" ca="1" si="16"/>
        <v>518</v>
      </c>
      <c r="BV20" s="142">
        <f t="shared" ca="1" si="17"/>
        <v>28.78</v>
      </c>
      <c r="BW20" s="120" t="str">
        <f t="shared" ca="1" si="18"/>
        <v>E</v>
      </c>
    </row>
    <row r="21" spans="1:75" ht="17.25" customHeight="1">
      <c r="A21" s="237">
        <v>16</v>
      </c>
      <c r="B21" s="244" t="str">
        <f>'A-RACHNATMAK'!B278</f>
        <v>ખુમાણ શિવરાજભાઇ બાબુભાઇ</v>
      </c>
      <c r="C21" s="245">
        <f>STUDENTS!D184</f>
        <v>0</v>
      </c>
      <c r="D21" s="246">
        <f>STUDENTS!D186</f>
        <v>0</v>
      </c>
      <c r="E21" s="247">
        <f>'A-RACHNATMAK'!Z26</f>
        <v>29</v>
      </c>
      <c r="F21" s="248"/>
      <c r="G21" s="248"/>
      <c r="H21" s="249">
        <f>'A-RACHNATMAK'!BA26</f>
        <v>31</v>
      </c>
      <c r="I21" s="248"/>
      <c r="J21" s="248"/>
      <c r="K21" s="119">
        <f t="shared" si="0"/>
        <v>60</v>
      </c>
      <c r="L21" s="120" t="str">
        <f t="shared" si="1"/>
        <v>E</v>
      </c>
      <c r="M21" s="247">
        <f>'A-RACHNATMAK'!Z68</f>
        <v>29</v>
      </c>
      <c r="N21" s="248"/>
      <c r="O21" s="248"/>
      <c r="P21" s="249">
        <f>'A-RACHNATMAK'!BA68</f>
        <v>29</v>
      </c>
      <c r="Q21" s="248"/>
      <c r="R21" s="248"/>
      <c r="S21" s="119">
        <f t="shared" si="2"/>
        <v>58</v>
      </c>
      <c r="T21" s="120" t="str">
        <f t="shared" si="3"/>
        <v>E</v>
      </c>
      <c r="U21" s="71"/>
      <c r="V21" s="247">
        <f>'A-RACHNATMAK'!Z110</f>
        <v>40</v>
      </c>
      <c r="W21" s="248"/>
      <c r="X21" s="248"/>
      <c r="Y21" s="249">
        <f>'A-RACHNATMAK'!BA110</f>
        <v>40</v>
      </c>
      <c r="Z21" s="248"/>
      <c r="AA21" s="248"/>
      <c r="AB21" s="119">
        <f t="shared" si="4"/>
        <v>80</v>
      </c>
      <c r="AC21" s="120" t="str">
        <f t="shared" si="5"/>
        <v>D</v>
      </c>
      <c r="AD21" s="247">
        <f>'A-RACHNATMAK'!Z194</f>
        <v>40</v>
      </c>
      <c r="AE21" s="248"/>
      <c r="AF21" s="248"/>
      <c r="AG21" s="249">
        <f>'A-RACHNATMAK'!BA194</f>
        <v>40</v>
      </c>
      <c r="AH21" s="248"/>
      <c r="AI21" s="248"/>
      <c r="AJ21" s="119">
        <f t="shared" si="6"/>
        <v>80</v>
      </c>
      <c r="AK21" s="120" t="str">
        <f t="shared" si="7"/>
        <v>D</v>
      </c>
      <c r="AL21" s="71"/>
      <c r="AM21" s="247">
        <f>'A-RACHNATMAK'!Z152</f>
        <v>40</v>
      </c>
      <c r="AN21" s="248"/>
      <c r="AO21" s="248"/>
      <c r="AP21" s="249">
        <f>'A-RACHNATMAK'!BA152</f>
        <v>40</v>
      </c>
      <c r="AQ21" s="248"/>
      <c r="AR21" s="248"/>
      <c r="AS21" s="119">
        <f t="shared" si="8"/>
        <v>80</v>
      </c>
      <c r="AT21" s="120" t="str">
        <f t="shared" si="9"/>
        <v>D</v>
      </c>
      <c r="AU21" s="247">
        <f>'A-RACHNATMAK'!Z236</f>
        <v>40</v>
      </c>
      <c r="AV21" s="248"/>
      <c r="AW21" s="248"/>
      <c r="AX21" s="249">
        <f>'A-RACHNATMAK'!BA236</f>
        <v>40</v>
      </c>
      <c r="AY21" s="248"/>
      <c r="AZ21" s="248"/>
      <c r="BA21" s="119">
        <f t="shared" si="10"/>
        <v>80</v>
      </c>
      <c r="BB21" s="120" t="str">
        <f t="shared" si="11"/>
        <v>D</v>
      </c>
      <c r="BC21" s="247">
        <f>'A-RACHNATMAK'!Z278</f>
        <v>40</v>
      </c>
      <c r="BD21" s="248"/>
      <c r="BE21" s="248"/>
      <c r="BF21" s="249">
        <f>'A-RACHNATMAK'!BA278</f>
        <v>40</v>
      </c>
      <c r="BG21" s="248"/>
      <c r="BH21" s="248"/>
      <c r="BI21" s="119">
        <f t="shared" si="12"/>
        <v>80</v>
      </c>
      <c r="BJ21" s="120" t="str">
        <f t="shared" si="13"/>
        <v>D</v>
      </c>
      <c r="BK21" s="203">
        <f t="shared" ca="1" si="14"/>
        <v>0</v>
      </c>
      <c r="BL21" s="120" t="str">
        <f t="shared" ca="1" si="15"/>
        <v/>
      </c>
      <c r="BM21" s="127">
        <v>68</v>
      </c>
      <c r="BN21" s="127">
        <v>68</v>
      </c>
      <c r="BO21" s="127">
        <v>68</v>
      </c>
      <c r="BP21" s="127">
        <v>68</v>
      </c>
      <c r="BQ21" s="127">
        <v>76.666666666666671</v>
      </c>
      <c r="BR21" s="127">
        <v>68</v>
      </c>
      <c r="BS21" s="127">
        <v>77.142857142857139</v>
      </c>
      <c r="BT21" s="127">
        <v>34</v>
      </c>
      <c r="BU21" s="141">
        <f t="shared" ca="1" si="16"/>
        <v>518</v>
      </c>
      <c r="BV21" s="142">
        <f t="shared" ca="1" si="17"/>
        <v>28.78</v>
      </c>
      <c r="BW21" s="120" t="str">
        <f t="shared" ca="1" si="18"/>
        <v>E</v>
      </c>
    </row>
    <row r="22" spans="1:75" ht="17.25" customHeight="1">
      <c r="A22" s="237">
        <v>17</v>
      </c>
      <c r="B22" s="244" t="str">
        <f>'A-RACHNATMAK'!B279</f>
        <v>માથાસુરીયા દિનેશભાઇ અમરાભાઇ</v>
      </c>
      <c r="C22" s="245">
        <f>STUDENTS!D196</f>
        <v>0</v>
      </c>
      <c r="D22" s="246">
        <f>STUDENTS!D198</f>
        <v>0</v>
      </c>
      <c r="E22" s="247">
        <f>'A-RACHNATMAK'!Z27</f>
        <v>29</v>
      </c>
      <c r="F22" s="248"/>
      <c r="G22" s="248"/>
      <c r="H22" s="249">
        <f>'A-RACHNATMAK'!BA27</f>
        <v>31</v>
      </c>
      <c r="I22" s="248"/>
      <c r="J22" s="248"/>
      <c r="K22" s="119">
        <f t="shared" si="0"/>
        <v>60</v>
      </c>
      <c r="L22" s="120" t="str">
        <f t="shared" si="1"/>
        <v>E</v>
      </c>
      <c r="M22" s="247">
        <f>'A-RACHNATMAK'!Z69</f>
        <v>29</v>
      </c>
      <c r="N22" s="248"/>
      <c r="O22" s="248"/>
      <c r="P22" s="249">
        <f>'A-RACHNATMAK'!BA69</f>
        <v>29</v>
      </c>
      <c r="Q22" s="248"/>
      <c r="R22" s="248"/>
      <c r="S22" s="119">
        <f t="shared" si="2"/>
        <v>58</v>
      </c>
      <c r="T22" s="120" t="str">
        <f t="shared" si="3"/>
        <v>E</v>
      </c>
      <c r="U22" s="71"/>
      <c r="V22" s="247">
        <f>'A-RACHNATMAK'!Z111</f>
        <v>40</v>
      </c>
      <c r="W22" s="248"/>
      <c r="X22" s="248"/>
      <c r="Y22" s="249">
        <f>'A-RACHNATMAK'!BA111</f>
        <v>40</v>
      </c>
      <c r="Z22" s="248"/>
      <c r="AA22" s="248"/>
      <c r="AB22" s="119">
        <f t="shared" si="4"/>
        <v>80</v>
      </c>
      <c r="AC22" s="120" t="str">
        <f t="shared" si="5"/>
        <v>D</v>
      </c>
      <c r="AD22" s="247">
        <f>'A-RACHNATMAK'!Z195</f>
        <v>40</v>
      </c>
      <c r="AE22" s="248"/>
      <c r="AF22" s="248"/>
      <c r="AG22" s="249">
        <f>'A-RACHNATMAK'!BA195</f>
        <v>40</v>
      </c>
      <c r="AH22" s="248"/>
      <c r="AI22" s="248"/>
      <c r="AJ22" s="119">
        <f t="shared" si="6"/>
        <v>80</v>
      </c>
      <c r="AK22" s="120" t="str">
        <f t="shared" si="7"/>
        <v>D</v>
      </c>
      <c r="AL22" s="71"/>
      <c r="AM22" s="247">
        <f>'A-RACHNATMAK'!Z153</f>
        <v>40</v>
      </c>
      <c r="AN22" s="248"/>
      <c r="AO22" s="248"/>
      <c r="AP22" s="249">
        <f>'A-RACHNATMAK'!BA153</f>
        <v>40</v>
      </c>
      <c r="AQ22" s="248"/>
      <c r="AR22" s="248"/>
      <c r="AS22" s="119">
        <f t="shared" si="8"/>
        <v>80</v>
      </c>
      <c r="AT22" s="120" t="str">
        <f t="shared" si="9"/>
        <v>D</v>
      </c>
      <c r="AU22" s="247">
        <f>'A-RACHNATMAK'!Z237</f>
        <v>40</v>
      </c>
      <c r="AV22" s="248"/>
      <c r="AW22" s="248"/>
      <c r="AX22" s="249">
        <f>'A-RACHNATMAK'!BA237</f>
        <v>40</v>
      </c>
      <c r="AY22" s="248"/>
      <c r="AZ22" s="248"/>
      <c r="BA22" s="119">
        <f t="shared" si="10"/>
        <v>80</v>
      </c>
      <c r="BB22" s="120" t="str">
        <f t="shared" si="11"/>
        <v>D</v>
      </c>
      <c r="BC22" s="247">
        <f>'A-RACHNATMAK'!Z279</f>
        <v>40</v>
      </c>
      <c r="BD22" s="248"/>
      <c r="BE22" s="248"/>
      <c r="BF22" s="249">
        <f>'A-RACHNATMAK'!BA279</f>
        <v>40</v>
      </c>
      <c r="BG22" s="248"/>
      <c r="BH22" s="248"/>
      <c r="BI22" s="119">
        <f t="shared" si="12"/>
        <v>80</v>
      </c>
      <c r="BJ22" s="120" t="str">
        <f t="shared" si="13"/>
        <v>D</v>
      </c>
      <c r="BK22" s="203">
        <f t="shared" ca="1" si="14"/>
        <v>0</v>
      </c>
      <c r="BL22" s="120" t="str">
        <f t="shared" ca="1" si="15"/>
        <v/>
      </c>
      <c r="BM22" s="127">
        <v>68</v>
      </c>
      <c r="BN22" s="127">
        <v>68</v>
      </c>
      <c r="BO22" s="127">
        <v>68</v>
      </c>
      <c r="BP22" s="127">
        <v>68</v>
      </c>
      <c r="BQ22" s="127">
        <v>76.666666666666671</v>
      </c>
      <c r="BR22" s="127">
        <v>68</v>
      </c>
      <c r="BS22" s="127">
        <v>77.142857142857139</v>
      </c>
      <c r="BT22" s="127">
        <v>34</v>
      </c>
      <c r="BU22" s="141">
        <f t="shared" ca="1" si="16"/>
        <v>518</v>
      </c>
      <c r="BV22" s="142">
        <f t="shared" ca="1" si="17"/>
        <v>28.78</v>
      </c>
      <c r="BW22" s="120" t="str">
        <f t="shared" ca="1" si="18"/>
        <v>E</v>
      </c>
    </row>
    <row r="23" spans="1:75" ht="17.25" customHeight="1">
      <c r="A23" s="237">
        <v>18</v>
      </c>
      <c r="B23" s="244" t="str">
        <f>'A-RACHNATMAK'!B280</f>
        <v>વાઘેલા હરેશ જીલુભાઇ</v>
      </c>
      <c r="C23" s="245">
        <f>STUDENTS!D208</f>
        <v>0</v>
      </c>
      <c r="D23" s="246">
        <f>STUDENTS!D210</f>
        <v>0</v>
      </c>
      <c r="E23" s="247">
        <f>'A-RACHNATMAK'!Z28</f>
        <v>29</v>
      </c>
      <c r="F23" s="248"/>
      <c r="G23" s="248"/>
      <c r="H23" s="249">
        <f>'A-RACHNATMAK'!BA28</f>
        <v>31</v>
      </c>
      <c r="I23" s="248"/>
      <c r="J23" s="248"/>
      <c r="K23" s="119">
        <f t="shared" si="0"/>
        <v>60</v>
      </c>
      <c r="L23" s="120" t="str">
        <f t="shared" si="1"/>
        <v>E</v>
      </c>
      <c r="M23" s="247">
        <f>'A-RACHNATMAK'!Z70</f>
        <v>29</v>
      </c>
      <c r="N23" s="248"/>
      <c r="O23" s="248"/>
      <c r="P23" s="249">
        <f>'A-RACHNATMAK'!BA70</f>
        <v>29</v>
      </c>
      <c r="Q23" s="248"/>
      <c r="R23" s="248"/>
      <c r="S23" s="119">
        <f t="shared" si="2"/>
        <v>58</v>
      </c>
      <c r="T23" s="120" t="str">
        <f t="shared" si="3"/>
        <v>E</v>
      </c>
      <c r="U23" s="71"/>
      <c r="V23" s="247">
        <f>'A-RACHNATMAK'!Z112</f>
        <v>40</v>
      </c>
      <c r="W23" s="248"/>
      <c r="X23" s="248"/>
      <c r="Y23" s="249">
        <f>'A-RACHNATMAK'!BA112</f>
        <v>40</v>
      </c>
      <c r="Z23" s="248"/>
      <c r="AA23" s="248"/>
      <c r="AB23" s="119">
        <f t="shared" si="4"/>
        <v>80</v>
      </c>
      <c r="AC23" s="120" t="str">
        <f t="shared" si="5"/>
        <v>D</v>
      </c>
      <c r="AD23" s="247">
        <f>'A-RACHNATMAK'!Z196</f>
        <v>40</v>
      </c>
      <c r="AE23" s="248"/>
      <c r="AF23" s="248"/>
      <c r="AG23" s="249">
        <f>'A-RACHNATMAK'!BA196</f>
        <v>40</v>
      </c>
      <c r="AH23" s="248"/>
      <c r="AI23" s="248"/>
      <c r="AJ23" s="119">
        <f t="shared" si="6"/>
        <v>80</v>
      </c>
      <c r="AK23" s="120" t="str">
        <f t="shared" si="7"/>
        <v>D</v>
      </c>
      <c r="AL23" s="71"/>
      <c r="AM23" s="247">
        <f>'A-RACHNATMAK'!Z154</f>
        <v>40</v>
      </c>
      <c r="AN23" s="248"/>
      <c r="AO23" s="248"/>
      <c r="AP23" s="249">
        <f>'A-RACHNATMAK'!BA154</f>
        <v>40</v>
      </c>
      <c r="AQ23" s="248"/>
      <c r="AR23" s="248"/>
      <c r="AS23" s="119">
        <f t="shared" si="8"/>
        <v>80</v>
      </c>
      <c r="AT23" s="120" t="str">
        <f t="shared" si="9"/>
        <v>D</v>
      </c>
      <c r="AU23" s="247">
        <f>'A-RACHNATMAK'!Z238</f>
        <v>40</v>
      </c>
      <c r="AV23" s="248"/>
      <c r="AW23" s="248"/>
      <c r="AX23" s="249">
        <f>'A-RACHNATMAK'!BA238</f>
        <v>40</v>
      </c>
      <c r="AY23" s="248"/>
      <c r="AZ23" s="248"/>
      <c r="BA23" s="119">
        <f t="shared" si="10"/>
        <v>80</v>
      </c>
      <c r="BB23" s="120" t="str">
        <f t="shared" si="11"/>
        <v>D</v>
      </c>
      <c r="BC23" s="247">
        <f>'A-RACHNATMAK'!Z280</f>
        <v>40</v>
      </c>
      <c r="BD23" s="248"/>
      <c r="BE23" s="248"/>
      <c r="BF23" s="249">
        <f>'A-RACHNATMAK'!BA280</f>
        <v>40</v>
      </c>
      <c r="BG23" s="248"/>
      <c r="BH23" s="248"/>
      <c r="BI23" s="119">
        <f t="shared" si="12"/>
        <v>80</v>
      </c>
      <c r="BJ23" s="120" t="str">
        <f t="shared" si="13"/>
        <v>D</v>
      </c>
      <c r="BK23" s="203">
        <f t="shared" ca="1" si="14"/>
        <v>0</v>
      </c>
      <c r="BL23" s="120" t="str">
        <f t="shared" ca="1" si="15"/>
        <v/>
      </c>
      <c r="BM23" s="127">
        <v>68</v>
      </c>
      <c r="BN23" s="127">
        <v>68</v>
      </c>
      <c r="BO23" s="127">
        <v>68</v>
      </c>
      <c r="BP23" s="127">
        <v>68</v>
      </c>
      <c r="BQ23" s="127">
        <v>76.666666666666671</v>
      </c>
      <c r="BR23" s="127">
        <v>68</v>
      </c>
      <c r="BS23" s="127">
        <v>77.142857142857139</v>
      </c>
      <c r="BT23" s="127">
        <v>34</v>
      </c>
      <c r="BU23" s="141">
        <f t="shared" ca="1" si="16"/>
        <v>518</v>
      </c>
      <c r="BV23" s="142">
        <f t="shared" ca="1" si="17"/>
        <v>28.78</v>
      </c>
      <c r="BW23" s="120" t="str">
        <f t="shared" ca="1" si="18"/>
        <v>E</v>
      </c>
    </row>
    <row r="24" spans="1:75" ht="17.25" customHeight="1">
      <c r="A24" s="237">
        <v>19</v>
      </c>
      <c r="B24" s="244" t="str">
        <f>'A-RACHNATMAK'!B281</f>
        <v>પરમાર દિલીપકુમાર મધુભાઇ</v>
      </c>
      <c r="C24" s="245">
        <f>STUDENTS!D220</f>
        <v>0</v>
      </c>
      <c r="D24" s="246">
        <f>STUDENTS!D222</f>
        <v>0</v>
      </c>
      <c r="E24" s="247">
        <f>'A-RACHNATMAK'!Z29</f>
        <v>29</v>
      </c>
      <c r="F24" s="248"/>
      <c r="G24" s="248"/>
      <c r="H24" s="249">
        <f>'A-RACHNATMAK'!BA29</f>
        <v>31</v>
      </c>
      <c r="I24" s="248"/>
      <c r="J24" s="248"/>
      <c r="K24" s="119">
        <f t="shared" si="0"/>
        <v>60</v>
      </c>
      <c r="L24" s="120" t="str">
        <f t="shared" si="1"/>
        <v>E</v>
      </c>
      <c r="M24" s="247">
        <f>'A-RACHNATMAK'!Z71</f>
        <v>29</v>
      </c>
      <c r="N24" s="248"/>
      <c r="O24" s="248"/>
      <c r="P24" s="249">
        <f>'A-RACHNATMAK'!BA71</f>
        <v>29</v>
      </c>
      <c r="Q24" s="248"/>
      <c r="R24" s="248"/>
      <c r="S24" s="119">
        <f t="shared" si="2"/>
        <v>58</v>
      </c>
      <c r="T24" s="120" t="str">
        <f t="shared" si="3"/>
        <v>E</v>
      </c>
      <c r="U24" s="71"/>
      <c r="V24" s="247">
        <f>'A-RACHNATMAK'!Z113</f>
        <v>40</v>
      </c>
      <c r="W24" s="248"/>
      <c r="X24" s="248"/>
      <c r="Y24" s="249">
        <f>'A-RACHNATMAK'!BA113</f>
        <v>40</v>
      </c>
      <c r="Z24" s="248"/>
      <c r="AA24" s="248"/>
      <c r="AB24" s="119">
        <f t="shared" si="4"/>
        <v>80</v>
      </c>
      <c r="AC24" s="120" t="str">
        <f t="shared" si="5"/>
        <v>D</v>
      </c>
      <c r="AD24" s="247">
        <f>'A-RACHNATMAK'!Z197</f>
        <v>40</v>
      </c>
      <c r="AE24" s="248"/>
      <c r="AF24" s="248"/>
      <c r="AG24" s="249">
        <f>'A-RACHNATMAK'!BA197</f>
        <v>40</v>
      </c>
      <c r="AH24" s="248"/>
      <c r="AI24" s="248"/>
      <c r="AJ24" s="119">
        <f t="shared" si="6"/>
        <v>80</v>
      </c>
      <c r="AK24" s="120" t="str">
        <f t="shared" si="7"/>
        <v>D</v>
      </c>
      <c r="AL24" s="71"/>
      <c r="AM24" s="247">
        <f>'A-RACHNATMAK'!Z155</f>
        <v>40</v>
      </c>
      <c r="AN24" s="248"/>
      <c r="AO24" s="248"/>
      <c r="AP24" s="249">
        <f>'A-RACHNATMAK'!BA155</f>
        <v>40</v>
      </c>
      <c r="AQ24" s="248"/>
      <c r="AR24" s="248"/>
      <c r="AS24" s="119">
        <f t="shared" si="8"/>
        <v>80</v>
      </c>
      <c r="AT24" s="120" t="str">
        <f t="shared" si="9"/>
        <v>D</v>
      </c>
      <c r="AU24" s="247">
        <f>'A-RACHNATMAK'!Z239</f>
        <v>40</v>
      </c>
      <c r="AV24" s="248"/>
      <c r="AW24" s="248"/>
      <c r="AX24" s="249">
        <f>'A-RACHNATMAK'!BA239</f>
        <v>40</v>
      </c>
      <c r="AY24" s="248"/>
      <c r="AZ24" s="248"/>
      <c r="BA24" s="119">
        <f t="shared" si="10"/>
        <v>80</v>
      </c>
      <c r="BB24" s="120" t="str">
        <f t="shared" si="11"/>
        <v>D</v>
      </c>
      <c r="BC24" s="247">
        <f>'A-RACHNATMAK'!Z281</f>
        <v>40</v>
      </c>
      <c r="BD24" s="248"/>
      <c r="BE24" s="248"/>
      <c r="BF24" s="249">
        <f>'A-RACHNATMAK'!BA281</f>
        <v>40</v>
      </c>
      <c r="BG24" s="248"/>
      <c r="BH24" s="248"/>
      <c r="BI24" s="119">
        <f t="shared" si="12"/>
        <v>80</v>
      </c>
      <c r="BJ24" s="120" t="str">
        <f t="shared" si="13"/>
        <v>D</v>
      </c>
      <c r="BK24" s="203">
        <f ca="1">INDIRECT("'B-VV'!AS"&amp;(ROW(A1)-1)*2+52)</f>
        <v>28</v>
      </c>
      <c r="BL24" s="120" t="str">
        <f t="shared" ca="1" si="15"/>
        <v>E</v>
      </c>
      <c r="BM24" s="127">
        <v>68</v>
      </c>
      <c r="BN24" s="127">
        <v>68</v>
      </c>
      <c r="BO24" s="127">
        <v>68</v>
      </c>
      <c r="BP24" s="127">
        <v>68</v>
      </c>
      <c r="BQ24" s="127">
        <v>76.666666666666671</v>
      </c>
      <c r="BR24" s="127">
        <v>68</v>
      </c>
      <c r="BS24" s="127">
        <v>77.142857142857139</v>
      </c>
      <c r="BT24" s="127">
        <v>34</v>
      </c>
      <c r="BU24" s="141">
        <f t="shared" ca="1" si="16"/>
        <v>546</v>
      </c>
      <c r="BV24" s="142">
        <f t="shared" ca="1" si="17"/>
        <v>30.33</v>
      </c>
      <c r="BW24" s="120" t="str">
        <f t="shared" ca="1" si="18"/>
        <v>E</v>
      </c>
    </row>
    <row r="25" spans="1:75" ht="17.25" customHeight="1">
      <c r="A25" s="237">
        <v>20</v>
      </c>
      <c r="B25" s="244" t="str">
        <f>'A-RACHNATMAK'!B282</f>
        <v>વિરપરા કૃણાલ હરેશભાઇ</v>
      </c>
      <c r="C25" s="245">
        <f>STUDENTS!D232</f>
        <v>0</v>
      </c>
      <c r="D25" s="246">
        <f>STUDENTS!D234</f>
        <v>0</v>
      </c>
      <c r="E25" s="247">
        <f>'A-RACHNATMAK'!Z30</f>
        <v>29</v>
      </c>
      <c r="F25" s="248"/>
      <c r="G25" s="248"/>
      <c r="H25" s="249">
        <f>'A-RACHNATMAK'!BA30</f>
        <v>31</v>
      </c>
      <c r="I25" s="248"/>
      <c r="J25" s="248"/>
      <c r="K25" s="119">
        <f t="shared" si="0"/>
        <v>60</v>
      </c>
      <c r="L25" s="120" t="str">
        <f t="shared" si="1"/>
        <v>E</v>
      </c>
      <c r="M25" s="247">
        <f>'A-RACHNATMAK'!Z72</f>
        <v>29</v>
      </c>
      <c r="N25" s="248"/>
      <c r="O25" s="248"/>
      <c r="P25" s="249">
        <f>'A-RACHNATMAK'!BA72</f>
        <v>29</v>
      </c>
      <c r="Q25" s="248"/>
      <c r="R25" s="248"/>
      <c r="S25" s="119">
        <f t="shared" si="2"/>
        <v>58</v>
      </c>
      <c r="T25" s="120" t="str">
        <f t="shared" si="3"/>
        <v>E</v>
      </c>
      <c r="U25" s="71"/>
      <c r="V25" s="247">
        <f>'A-RACHNATMAK'!Z114</f>
        <v>40</v>
      </c>
      <c r="W25" s="248"/>
      <c r="X25" s="248"/>
      <c r="Y25" s="249">
        <f>'A-RACHNATMAK'!BA114</f>
        <v>40</v>
      </c>
      <c r="Z25" s="248"/>
      <c r="AA25" s="248"/>
      <c r="AB25" s="119">
        <f t="shared" si="4"/>
        <v>80</v>
      </c>
      <c r="AC25" s="120" t="str">
        <f t="shared" si="5"/>
        <v>D</v>
      </c>
      <c r="AD25" s="247">
        <f>'A-RACHNATMAK'!Z198</f>
        <v>40</v>
      </c>
      <c r="AE25" s="248"/>
      <c r="AF25" s="248"/>
      <c r="AG25" s="249">
        <f>'A-RACHNATMAK'!BA198</f>
        <v>40</v>
      </c>
      <c r="AH25" s="248"/>
      <c r="AI25" s="248"/>
      <c r="AJ25" s="119">
        <f t="shared" si="6"/>
        <v>80</v>
      </c>
      <c r="AK25" s="120" t="str">
        <f t="shared" si="7"/>
        <v>D</v>
      </c>
      <c r="AL25" s="71"/>
      <c r="AM25" s="247">
        <f>'A-RACHNATMAK'!Z156</f>
        <v>40</v>
      </c>
      <c r="AN25" s="248"/>
      <c r="AO25" s="248"/>
      <c r="AP25" s="249">
        <f>'A-RACHNATMAK'!BA156</f>
        <v>40</v>
      </c>
      <c r="AQ25" s="248"/>
      <c r="AR25" s="248"/>
      <c r="AS25" s="119">
        <f t="shared" si="8"/>
        <v>80</v>
      </c>
      <c r="AT25" s="120" t="str">
        <f t="shared" si="9"/>
        <v>D</v>
      </c>
      <c r="AU25" s="247">
        <f>'A-RACHNATMAK'!Z240</f>
        <v>40</v>
      </c>
      <c r="AV25" s="248"/>
      <c r="AW25" s="248"/>
      <c r="AX25" s="249">
        <f>'A-RACHNATMAK'!BA240</f>
        <v>40</v>
      </c>
      <c r="AY25" s="248"/>
      <c r="AZ25" s="248"/>
      <c r="BA25" s="119">
        <f t="shared" si="10"/>
        <v>80</v>
      </c>
      <c r="BB25" s="120" t="str">
        <f t="shared" si="11"/>
        <v>D</v>
      </c>
      <c r="BC25" s="247">
        <f>'A-RACHNATMAK'!Z282</f>
        <v>40</v>
      </c>
      <c r="BD25" s="248"/>
      <c r="BE25" s="248"/>
      <c r="BF25" s="249">
        <f>'A-RACHNATMAK'!BA282</f>
        <v>40</v>
      </c>
      <c r="BG25" s="248"/>
      <c r="BH25" s="248"/>
      <c r="BI25" s="119">
        <f t="shared" si="12"/>
        <v>80</v>
      </c>
      <c r="BJ25" s="120" t="str">
        <f t="shared" si="13"/>
        <v>D</v>
      </c>
      <c r="BK25" s="203">
        <f t="shared" ref="BK25:BK40" ca="1" si="19">INDIRECT("'B-VV'!AS"&amp;(ROW(A2)-1)*2+52)</f>
        <v>26</v>
      </c>
      <c r="BL25" s="120" t="str">
        <f t="shared" ca="1" si="15"/>
        <v>E</v>
      </c>
      <c r="BM25" s="127">
        <v>68</v>
      </c>
      <c r="BN25" s="127">
        <v>68</v>
      </c>
      <c r="BO25" s="127">
        <v>68</v>
      </c>
      <c r="BP25" s="127">
        <v>68</v>
      </c>
      <c r="BQ25" s="127">
        <v>76.666666666666671</v>
      </c>
      <c r="BR25" s="127">
        <v>68</v>
      </c>
      <c r="BS25" s="127">
        <v>77.142857142857139</v>
      </c>
      <c r="BT25" s="127">
        <v>34</v>
      </c>
      <c r="BU25" s="141">
        <f t="shared" ca="1" si="16"/>
        <v>544</v>
      </c>
      <c r="BV25" s="142">
        <f t="shared" ca="1" si="17"/>
        <v>30.22</v>
      </c>
      <c r="BW25" s="120" t="str">
        <f t="shared" ca="1" si="18"/>
        <v>E</v>
      </c>
    </row>
    <row r="26" spans="1:75" ht="17.25" customHeight="1">
      <c r="A26" s="237">
        <v>21</v>
      </c>
      <c r="B26" s="244" t="str">
        <f>'A-RACHNATMAK'!B283</f>
        <v>મકરૂબિયા જીજ્ઞેશભાઇ અશોકભાઇ</v>
      </c>
      <c r="C26" s="245">
        <f>STUDENTS!D244</f>
        <v>0</v>
      </c>
      <c r="D26" s="246">
        <f>STUDENTS!D246</f>
        <v>0</v>
      </c>
      <c r="E26" s="247">
        <f>'A-RACHNATMAK'!Z31</f>
        <v>29</v>
      </c>
      <c r="F26" s="248"/>
      <c r="G26" s="248"/>
      <c r="H26" s="249">
        <f>'A-RACHNATMAK'!BA31</f>
        <v>31</v>
      </c>
      <c r="I26" s="248"/>
      <c r="J26" s="248"/>
      <c r="K26" s="119">
        <f t="shared" si="0"/>
        <v>60</v>
      </c>
      <c r="L26" s="120" t="str">
        <f t="shared" si="1"/>
        <v>E</v>
      </c>
      <c r="M26" s="247">
        <f>'A-RACHNATMAK'!Z73</f>
        <v>29</v>
      </c>
      <c r="N26" s="248"/>
      <c r="O26" s="248"/>
      <c r="P26" s="249">
        <f>'A-RACHNATMAK'!BA73</f>
        <v>29</v>
      </c>
      <c r="Q26" s="248"/>
      <c r="R26" s="248"/>
      <c r="S26" s="119">
        <f t="shared" si="2"/>
        <v>58</v>
      </c>
      <c r="T26" s="120" t="str">
        <f t="shared" si="3"/>
        <v>E</v>
      </c>
      <c r="U26" s="71"/>
      <c r="V26" s="247">
        <f>'A-RACHNATMAK'!Z115</f>
        <v>40</v>
      </c>
      <c r="W26" s="248"/>
      <c r="X26" s="248"/>
      <c r="Y26" s="249">
        <f>'A-RACHNATMAK'!BA115</f>
        <v>40</v>
      </c>
      <c r="Z26" s="248"/>
      <c r="AA26" s="248"/>
      <c r="AB26" s="119">
        <f t="shared" si="4"/>
        <v>80</v>
      </c>
      <c r="AC26" s="120" t="str">
        <f t="shared" si="5"/>
        <v>D</v>
      </c>
      <c r="AD26" s="247">
        <f>'A-RACHNATMAK'!Z199</f>
        <v>40</v>
      </c>
      <c r="AE26" s="248"/>
      <c r="AF26" s="248"/>
      <c r="AG26" s="249">
        <f>'A-RACHNATMAK'!BA199</f>
        <v>40</v>
      </c>
      <c r="AH26" s="248"/>
      <c r="AI26" s="248"/>
      <c r="AJ26" s="119">
        <f t="shared" si="6"/>
        <v>80</v>
      </c>
      <c r="AK26" s="120" t="str">
        <f t="shared" si="7"/>
        <v>D</v>
      </c>
      <c r="AL26" s="71"/>
      <c r="AM26" s="247">
        <f>'A-RACHNATMAK'!Z157</f>
        <v>40</v>
      </c>
      <c r="AN26" s="248"/>
      <c r="AO26" s="248"/>
      <c r="AP26" s="249">
        <f>'A-RACHNATMAK'!BA157</f>
        <v>40</v>
      </c>
      <c r="AQ26" s="248"/>
      <c r="AR26" s="248"/>
      <c r="AS26" s="119">
        <f t="shared" si="8"/>
        <v>80</v>
      </c>
      <c r="AT26" s="120" t="str">
        <f t="shared" si="9"/>
        <v>D</v>
      </c>
      <c r="AU26" s="247">
        <f>'A-RACHNATMAK'!Z241</f>
        <v>40</v>
      </c>
      <c r="AV26" s="248"/>
      <c r="AW26" s="248"/>
      <c r="AX26" s="249">
        <f>'A-RACHNATMAK'!BA241</f>
        <v>40</v>
      </c>
      <c r="AY26" s="248"/>
      <c r="AZ26" s="248"/>
      <c r="BA26" s="119">
        <f t="shared" si="10"/>
        <v>80</v>
      </c>
      <c r="BB26" s="120" t="str">
        <f t="shared" si="11"/>
        <v>D</v>
      </c>
      <c r="BC26" s="247">
        <f>'A-RACHNATMAK'!Z283</f>
        <v>40</v>
      </c>
      <c r="BD26" s="248"/>
      <c r="BE26" s="248"/>
      <c r="BF26" s="249">
        <f>'A-RACHNATMAK'!BA283</f>
        <v>40</v>
      </c>
      <c r="BG26" s="248"/>
      <c r="BH26" s="248"/>
      <c r="BI26" s="119">
        <f t="shared" si="12"/>
        <v>80</v>
      </c>
      <c r="BJ26" s="120" t="str">
        <f t="shared" si="13"/>
        <v>D</v>
      </c>
      <c r="BK26" s="203">
        <f t="shared" ca="1" si="19"/>
        <v>8</v>
      </c>
      <c r="BL26" s="120" t="str">
        <f t="shared" ca="1" si="15"/>
        <v>E</v>
      </c>
      <c r="BM26" s="127">
        <v>68</v>
      </c>
      <c r="BN26" s="127">
        <v>68</v>
      </c>
      <c r="BO26" s="127">
        <v>68</v>
      </c>
      <c r="BP26" s="127">
        <v>68</v>
      </c>
      <c r="BQ26" s="127">
        <v>76.666666666666671</v>
      </c>
      <c r="BR26" s="127">
        <v>68</v>
      </c>
      <c r="BS26" s="127">
        <v>77.142857142857139</v>
      </c>
      <c r="BT26" s="127">
        <v>34</v>
      </c>
      <c r="BU26" s="141">
        <f t="shared" ca="1" si="16"/>
        <v>526</v>
      </c>
      <c r="BV26" s="142">
        <f t="shared" ca="1" si="17"/>
        <v>29.22</v>
      </c>
      <c r="BW26" s="120" t="str">
        <f t="shared" ca="1" si="18"/>
        <v>E</v>
      </c>
    </row>
    <row r="27" spans="1:75" ht="17.25" customHeight="1">
      <c r="A27" s="237">
        <v>22</v>
      </c>
      <c r="B27" s="244" t="str">
        <f>'A-RACHNATMAK'!B284</f>
        <v>ખિમસુરીયા જ્યોત્સના મુકેશભાઇ</v>
      </c>
      <c r="C27" s="245">
        <f>STUDENTS!D256</f>
        <v>0</v>
      </c>
      <c r="D27" s="246">
        <f>STUDENTS!D258</f>
        <v>0</v>
      </c>
      <c r="E27" s="247">
        <f>'A-RACHNATMAK'!Z32</f>
        <v>29</v>
      </c>
      <c r="F27" s="248"/>
      <c r="G27" s="248"/>
      <c r="H27" s="249">
        <f>'A-RACHNATMAK'!BA32</f>
        <v>31</v>
      </c>
      <c r="I27" s="248"/>
      <c r="J27" s="248"/>
      <c r="K27" s="119">
        <f t="shared" si="0"/>
        <v>60</v>
      </c>
      <c r="L27" s="120" t="str">
        <f t="shared" si="1"/>
        <v>E</v>
      </c>
      <c r="M27" s="247">
        <f>'A-RACHNATMAK'!Z74</f>
        <v>29</v>
      </c>
      <c r="N27" s="248"/>
      <c r="O27" s="248"/>
      <c r="P27" s="249">
        <f>'A-RACHNATMAK'!BA74</f>
        <v>29</v>
      </c>
      <c r="Q27" s="248"/>
      <c r="R27" s="248"/>
      <c r="S27" s="119">
        <f t="shared" si="2"/>
        <v>58</v>
      </c>
      <c r="T27" s="120" t="str">
        <f t="shared" si="3"/>
        <v>E</v>
      </c>
      <c r="U27" s="71"/>
      <c r="V27" s="247">
        <f>'A-RACHNATMAK'!Z116</f>
        <v>40</v>
      </c>
      <c r="W27" s="248"/>
      <c r="X27" s="248"/>
      <c r="Y27" s="249">
        <f>'A-RACHNATMAK'!BA116</f>
        <v>40</v>
      </c>
      <c r="Z27" s="248"/>
      <c r="AA27" s="248"/>
      <c r="AB27" s="119">
        <f t="shared" si="4"/>
        <v>80</v>
      </c>
      <c r="AC27" s="120" t="str">
        <f t="shared" si="5"/>
        <v>D</v>
      </c>
      <c r="AD27" s="247">
        <f>'A-RACHNATMAK'!Z200</f>
        <v>40</v>
      </c>
      <c r="AE27" s="248"/>
      <c r="AF27" s="248"/>
      <c r="AG27" s="249">
        <f>'A-RACHNATMAK'!BA200</f>
        <v>40</v>
      </c>
      <c r="AH27" s="248"/>
      <c r="AI27" s="248"/>
      <c r="AJ27" s="119">
        <f t="shared" si="6"/>
        <v>80</v>
      </c>
      <c r="AK27" s="120" t="str">
        <f t="shared" si="7"/>
        <v>D</v>
      </c>
      <c r="AL27" s="71"/>
      <c r="AM27" s="247">
        <f>'A-RACHNATMAK'!Z158</f>
        <v>40</v>
      </c>
      <c r="AN27" s="248"/>
      <c r="AO27" s="248"/>
      <c r="AP27" s="249">
        <f>'A-RACHNATMAK'!BA158</f>
        <v>40</v>
      </c>
      <c r="AQ27" s="248"/>
      <c r="AR27" s="248"/>
      <c r="AS27" s="119">
        <f t="shared" si="8"/>
        <v>80</v>
      </c>
      <c r="AT27" s="120" t="str">
        <f t="shared" si="9"/>
        <v>D</v>
      </c>
      <c r="AU27" s="247">
        <f>'A-RACHNATMAK'!Z242</f>
        <v>40</v>
      </c>
      <c r="AV27" s="248"/>
      <c r="AW27" s="248"/>
      <c r="AX27" s="249">
        <f>'A-RACHNATMAK'!BA242</f>
        <v>40</v>
      </c>
      <c r="AY27" s="248"/>
      <c r="AZ27" s="248"/>
      <c r="BA27" s="119">
        <f t="shared" si="10"/>
        <v>80</v>
      </c>
      <c r="BB27" s="120" t="str">
        <f t="shared" si="11"/>
        <v>D</v>
      </c>
      <c r="BC27" s="247">
        <f>'A-RACHNATMAK'!Z284</f>
        <v>40</v>
      </c>
      <c r="BD27" s="248"/>
      <c r="BE27" s="248"/>
      <c r="BF27" s="249">
        <f>'A-RACHNATMAK'!BA284</f>
        <v>40</v>
      </c>
      <c r="BG27" s="248"/>
      <c r="BH27" s="248"/>
      <c r="BI27" s="119">
        <f t="shared" si="12"/>
        <v>80</v>
      </c>
      <c r="BJ27" s="120" t="str">
        <f t="shared" si="13"/>
        <v>D</v>
      </c>
      <c r="BK27" s="203">
        <f t="shared" ca="1" si="19"/>
        <v>0</v>
      </c>
      <c r="BL27" s="120" t="str">
        <f t="shared" ca="1" si="15"/>
        <v/>
      </c>
      <c r="BM27" s="127">
        <v>68</v>
      </c>
      <c r="BN27" s="127">
        <v>68</v>
      </c>
      <c r="BO27" s="127">
        <v>68</v>
      </c>
      <c r="BP27" s="127">
        <v>68</v>
      </c>
      <c r="BQ27" s="127">
        <v>76.666666666666671</v>
      </c>
      <c r="BR27" s="127">
        <v>68</v>
      </c>
      <c r="BS27" s="127">
        <v>77.142857142857139</v>
      </c>
      <c r="BT27" s="127">
        <v>34</v>
      </c>
      <c r="BU27" s="141">
        <f t="shared" ca="1" si="16"/>
        <v>518</v>
      </c>
      <c r="BV27" s="142">
        <f t="shared" ca="1" si="17"/>
        <v>28.78</v>
      </c>
      <c r="BW27" s="120" t="str">
        <f t="shared" ca="1" si="18"/>
        <v>E</v>
      </c>
    </row>
    <row r="28" spans="1:75" ht="17.25" customHeight="1">
      <c r="A28" s="237">
        <v>23</v>
      </c>
      <c r="B28" s="244" t="str">
        <f>'A-RACHNATMAK'!B285</f>
        <v>ગરણિયા રાજલબેન સામતભાઇ</v>
      </c>
      <c r="C28" s="245">
        <f>STUDENTS!D268</f>
        <v>0</v>
      </c>
      <c r="D28" s="246">
        <f>STUDENTS!D270</f>
        <v>0</v>
      </c>
      <c r="E28" s="247">
        <f>'A-RACHNATMAK'!Z33</f>
        <v>29</v>
      </c>
      <c r="F28" s="248"/>
      <c r="G28" s="248"/>
      <c r="H28" s="249">
        <f>'A-RACHNATMAK'!BA33</f>
        <v>31</v>
      </c>
      <c r="I28" s="248"/>
      <c r="J28" s="248"/>
      <c r="K28" s="119">
        <f t="shared" si="0"/>
        <v>60</v>
      </c>
      <c r="L28" s="120" t="str">
        <f t="shared" si="1"/>
        <v>E</v>
      </c>
      <c r="M28" s="247">
        <f>'A-RACHNATMAK'!Z75</f>
        <v>29</v>
      </c>
      <c r="N28" s="248"/>
      <c r="O28" s="248"/>
      <c r="P28" s="249">
        <f>'A-RACHNATMAK'!BA75</f>
        <v>29</v>
      </c>
      <c r="Q28" s="248"/>
      <c r="R28" s="248"/>
      <c r="S28" s="119">
        <f t="shared" si="2"/>
        <v>58</v>
      </c>
      <c r="T28" s="120" t="str">
        <f t="shared" si="3"/>
        <v>E</v>
      </c>
      <c r="U28" s="71"/>
      <c r="V28" s="247">
        <f>'A-RACHNATMAK'!Z117</f>
        <v>40</v>
      </c>
      <c r="W28" s="248"/>
      <c r="X28" s="248"/>
      <c r="Y28" s="249">
        <f>'A-RACHNATMAK'!BA117</f>
        <v>40</v>
      </c>
      <c r="Z28" s="248"/>
      <c r="AA28" s="248"/>
      <c r="AB28" s="119">
        <f t="shared" si="4"/>
        <v>80</v>
      </c>
      <c r="AC28" s="120" t="str">
        <f t="shared" si="5"/>
        <v>D</v>
      </c>
      <c r="AD28" s="247">
        <f>'A-RACHNATMAK'!Z201</f>
        <v>40</v>
      </c>
      <c r="AE28" s="248"/>
      <c r="AF28" s="248"/>
      <c r="AG28" s="249">
        <f>'A-RACHNATMAK'!BA201</f>
        <v>40</v>
      </c>
      <c r="AH28" s="248"/>
      <c r="AI28" s="248"/>
      <c r="AJ28" s="119">
        <f t="shared" si="6"/>
        <v>80</v>
      </c>
      <c r="AK28" s="120" t="str">
        <f t="shared" si="7"/>
        <v>D</v>
      </c>
      <c r="AL28" s="71"/>
      <c r="AM28" s="247">
        <f>'A-RACHNATMAK'!Z159</f>
        <v>40</v>
      </c>
      <c r="AN28" s="248"/>
      <c r="AO28" s="248"/>
      <c r="AP28" s="249">
        <f>'A-RACHNATMAK'!BA159</f>
        <v>40</v>
      </c>
      <c r="AQ28" s="248"/>
      <c r="AR28" s="248"/>
      <c r="AS28" s="119">
        <f t="shared" si="8"/>
        <v>80</v>
      </c>
      <c r="AT28" s="120" t="str">
        <f t="shared" si="9"/>
        <v>D</v>
      </c>
      <c r="AU28" s="247">
        <f>'A-RACHNATMAK'!Z243</f>
        <v>40</v>
      </c>
      <c r="AV28" s="248"/>
      <c r="AW28" s="248"/>
      <c r="AX28" s="249">
        <f>'A-RACHNATMAK'!BA243</f>
        <v>40</v>
      </c>
      <c r="AY28" s="248"/>
      <c r="AZ28" s="248"/>
      <c r="BA28" s="119">
        <f t="shared" si="10"/>
        <v>80</v>
      </c>
      <c r="BB28" s="120" t="str">
        <f t="shared" si="11"/>
        <v>D</v>
      </c>
      <c r="BC28" s="247">
        <f>'A-RACHNATMAK'!Z285</f>
        <v>40</v>
      </c>
      <c r="BD28" s="248"/>
      <c r="BE28" s="248"/>
      <c r="BF28" s="249">
        <f>'A-RACHNATMAK'!BA285</f>
        <v>40</v>
      </c>
      <c r="BG28" s="248"/>
      <c r="BH28" s="248"/>
      <c r="BI28" s="119">
        <f t="shared" si="12"/>
        <v>80</v>
      </c>
      <c r="BJ28" s="120" t="str">
        <f t="shared" si="13"/>
        <v>D</v>
      </c>
      <c r="BK28" s="203">
        <f t="shared" ca="1" si="19"/>
        <v>0</v>
      </c>
      <c r="BL28" s="120" t="str">
        <f t="shared" ca="1" si="15"/>
        <v/>
      </c>
      <c r="BM28" s="127">
        <v>68</v>
      </c>
      <c r="BN28" s="127">
        <v>68</v>
      </c>
      <c r="BO28" s="127">
        <v>68</v>
      </c>
      <c r="BP28" s="127">
        <v>68</v>
      </c>
      <c r="BQ28" s="127">
        <v>76.666666666666671</v>
      </c>
      <c r="BR28" s="127">
        <v>68</v>
      </c>
      <c r="BS28" s="127">
        <v>77.142857142857139</v>
      </c>
      <c r="BT28" s="127">
        <v>34</v>
      </c>
      <c r="BU28" s="141">
        <f t="shared" ca="1" si="16"/>
        <v>518</v>
      </c>
      <c r="BV28" s="142">
        <f t="shared" ca="1" si="17"/>
        <v>28.78</v>
      </c>
      <c r="BW28" s="120" t="str">
        <f t="shared" ca="1" si="18"/>
        <v>E</v>
      </c>
    </row>
    <row r="29" spans="1:75" ht="17.25" customHeight="1">
      <c r="A29" s="237">
        <v>24</v>
      </c>
      <c r="B29" s="244" t="str">
        <f>'A-RACHNATMAK'!B286</f>
        <v>ગરણિયા નિરાલીબેન પ્રદીપભાઇ</v>
      </c>
      <c r="C29" s="245">
        <f>STUDENTS!D280</f>
        <v>0</v>
      </c>
      <c r="D29" s="246">
        <f>STUDENTS!D282</f>
        <v>0</v>
      </c>
      <c r="E29" s="247">
        <f>'A-RACHNATMAK'!Z34</f>
        <v>29</v>
      </c>
      <c r="F29" s="248"/>
      <c r="G29" s="248"/>
      <c r="H29" s="249">
        <f>'A-RACHNATMAK'!BA34</f>
        <v>31</v>
      </c>
      <c r="I29" s="248"/>
      <c r="J29" s="248"/>
      <c r="K29" s="119">
        <f t="shared" si="0"/>
        <v>60</v>
      </c>
      <c r="L29" s="120" t="str">
        <f t="shared" si="1"/>
        <v>E</v>
      </c>
      <c r="M29" s="247">
        <f>'A-RACHNATMAK'!Z76</f>
        <v>29</v>
      </c>
      <c r="N29" s="248"/>
      <c r="O29" s="248"/>
      <c r="P29" s="249">
        <f>'A-RACHNATMAK'!BA76</f>
        <v>29</v>
      </c>
      <c r="Q29" s="248"/>
      <c r="R29" s="248"/>
      <c r="S29" s="119">
        <f t="shared" si="2"/>
        <v>58</v>
      </c>
      <c r="T29" s="120" t="str">
        <f t="shared" si="3"/>
        <v>E</v>
      </c>
      <c r="U29" s="71"/>
      <c r="V29" s="247">
        <f>'A-RACHNATMAK'!Z118</f>
        <v>40</v>
      </c>
      <c r="W29" s="248"/>
      <c r="X29" s="248"/>
      <c r="Y29" s="249">
        <f>'A-RACHNATMAK'!BA118</f>
        <v>40</v>
      </c>
      <c r="Z29" s="248"/>
      <c r="AA29" s="248"/>
      <c r="AB29" s="119">
        <f t="shared" si="4"/>
        <v>80</v>
      </c>
      <c r="AC29" s="120" t="str">
        <f t="shared" si="5"/>
        <v>D</v>
      </c>
      <c r="AD29" s="247">
        <f>'A-RACHNATMAK'!Z202</f>
        <v>40</v>
      </c>
      <c r="AE29" s="248"/>
      <c r="AF29" s="248"/>
      <c r="AG29" s="249">
        <f>'A-RACHNATMAK'!BA202</f>
        <v>40</v>
      </c>
      <c r="AH29" s="248"/>
      <c r="AI29" s="248"/>
      <c r="AJ29" s="119">
        <f t="shared" si="6"/>
        <v>80</v>
      </c>
      <c r="AK29" s="120" t="str">
        <f t="shared" si="7"/>
        <v>D</v>
      </c>
      <c r="AL29" s="71"/>
      <c r="AM29" s="247">
        <f>'A-RACHNATMAK'!Z160</f>
        <v>40</v>
      </c>
      <c r="AN29" s="248"/>
      <c r="AO29" s="248"/>
      <c r="AP29" s="249">
        <f>'A-RACHNATMAK'!BA160</f>
        <v>40</v>
      </c>
      <c r="AQ29" s="248"/>
      <c r="AR29" s="248"/>
      <c r="AS29" s="119">
        <f t="shared" si="8"/>
        <v>80</v>
      </c>
      <c r="AT29" s="120" t="str">
        <f t="shared" si="9"/>
        <v>D</v>
      </c>
      <c r="AU29" s="247">
        <f>'A-RACHNATMAK'!Z244</f>
        <v>40</v>
      </c>
      <c r="AV29" s="248"/>
      <c r="AW29" s="248"/>
      <c r="AX29" s="249">
        <f>'A-RACHNATMAK'!BA244</f>
        <v>40</v>
      </c>
      <c r="AY29" s="248"/>
      <c r="AZ29" s="248"/>
      <c r="BA29" s="119">
        <f t="shared" si="10"/>
        <v>80</v>
      </c>
      <c r="BB29" s="120" t="str">
        <f t="shared" si="11"/>
        <v>D</v>
      </c>
      <c r="BC29" s="247">
        <f>'A-RACHNATMAK'!Z286</f>
        <v>40</v>
      </c>
      <c r="BD29" s="248"/>
      <c r="BE29" s="248"/>
      <c r="BF29" s="249">
        <f>'A-RACHNATMAK'!BA286</f>
        <v>40</v>
      </c>
      <c r="BG29" s="248"/>
      <c r="BH29" s="248"/>
      <c r="BI29" s="119">
        <f t="shared" si="12"/>
        <v>80</v>
      </c>
      <c r="BJ29" s="120" t="str">
        <f t="shared" si="13"/>
        <v>D</v>
      </c>
      <c r="BK29" s="203">
        <f t="shared" ca="1" si="19"/>
        <v>0</v>
      </c>
      <c r="BL29" s="120" t="str">
        <f t="shared" ca="1" si="15"/>
        <v/>
      </c>
      <c r="BM29" s="127">
        <v>68</v>
      </c>
      <c r="BN29" s="127">
        <v>68</v>
      </c>
      <c r="BO29" s="127">
        <v>68</v>
      </c>
      <c r="BP29" s="127">
        <v>68</v>
      </c>
      <c r="BQ29" s="127">
        <v>76.666666666666671</v>
      </c>
      <c r="BR29" s="127">
        <v>68</v>
      </c>
      <c r="BS29" s="127">
        <v>77.142857142857139</v>
      </c>
      <c r="BT29" s="127">
        <v>34</v>
      </c>
      <c r="BU29" s="141">
        <f t="shared" ca="1" si="16"/>
        <v>518</v>
      </c>
      <c r="BV29" s="142">
        <f t="shared" ca="1" si="17"/>
        <v>28.78</v>
      </c>
      <c r="BW29" s="120" t="str">
        <f t="shared" ca="1" si="18"/>
        <v>E</v>
      </c>
    </row>
    <row r="30" spans="1:75" ht="17.25" customHeight="1">
      <c r="A30" s="237">
        <v>25</v>
      </c>
      <c r="B30" s="244" t="str">
        <f>'A-RACHNATMAK'!B287</f>
        <v>ગરણિયા રાધાબેન લક્ષ્મણભાઇ</v>
      </c>
      <c r="C30" s="245">
        <f>STUDENTS!D292</f>
        <v>0</v>
      </c>
      <c r="D30" s="246">
        <f>STUDENTS!D294</f>
        <v>0</v>
      </c>
      <c r="E30" s="247">
        <f>'A-RACHNATMAK'!Z35</f>
        <v>29</v>
      </c>
      <c r="F30" s="248"/>
      <c r="G30" s="248"/>
      <c r="H30" s="249">
        <f>'A-RACHNATMAK'!BA35</f>
        <v>31</v>
      </c>
      <c r="I30" s="248"/>
      <c r="J30" s="248"/>
      <c r="K30" s="119">
        <f t="shared" si="0"/>
        <v>60</v>
      </c>
      <c r="L30" s="120" t="str">
        <f t="shared" si="1"/>
        <v>E</v>
      </c>
      <c r="M30" s="247">
        <f>'A-RACHNATMAK'!Z77</f>
        <v>29</v>
      </c>
      <c r="N30" s="248"/>
      <c r="O30" s="248"/>
      <c r="P30" s="249">
        <f>'A-RACHNATMAK'!BA77</f>
        <v>29</v>
      </c>
      <c r="Q30" s="248"/>
      <c r="R30" s="248"/>
      <c r="S30" s="119">
        <f t="shared" si="2"/>
        <v>58</v>
      </c>
      <c r="T30" s="120" t="str">
        <f t="shared" si="3"/>
        <v>E</v>
      </c>
      <c r="U30" s="71"/>
      <c r="V30" s="247">
        <f>'A-RACHNATMAK'!Z119</f>
        <v>40</v>
      </c>
      <c r="W30" s="248"/>
      <c r="X30" s="248"/>
      <c r="Y30" s="249">
        <f>'A-RACHNATMAK'!BA119</f>
        <v>40</v>
      </c>
      <c r="Z30" s="248"/>
      <c r="AA30" s="248"/>
      <c r="AB30" s="119">
        <f t="shared" si="4"/>
        <v>80</v>
      </c>
      <c r="AC30" s="120" t="str">
        <f t="shared" si="5"/>
        <v>D</v>
      </c>
      <c r="AD30" s="247">
        <f>'A-RACHNATMAK'!Z203</f>
        <v>40</v>
      </c>
      <c r="AE30" s="248"/>
      <c r="AF30" s="248"/>
      <c r="AG30" s="249">
        <f>'A-RACHNATMAK'!BA203</f>
        <v>40</v>
      </c>
      <c r="AH30" s="248"/>
      <c r="AI30" s="248"/>
      <c r="AJ30" s="119">
        <f t="shared" si="6"/>
        <v>80</v>
      </c>
      <c r="AK30" s="120" t="str">
        <f t="shared" si="7"/>
        <v>D</v>
      </c>
      <c r="AL30" s="71"/>
      <c r="AM30" s="247">
        <f>'A-RACHNATMAK'!Z161</f>
        <v>40</v>
      </c>
      <c r="AN30" s="248"/>
      <c r="AO30" s="248"/>
      <c r="AP30" s="249">
        <f>'A-RACHNATMAK'!BA161</f>
        <v>40</v>
      </c>
      <c r="AQ30" s="248"/>
      <c r="AR30" s="248"/>
      <c r="AS30" s="119">
        <f t="shared" si="8"/>
        <v>80</v>
      </c>
      <c r="AT30" s="120" t="str">
        <f t="shared" si="9"/>
        <v>D</v>
      </c>
      <c r="AU30" s="247">
        <f>'A-RACHNATMAK'!Z245</f>
        <v>40</v>
      </c>
      <c r="AV30" s="248"/>
      <c r="AW30" s="248"/>
      <c r="AX30" s="249">
        <f>'A-RACHNATMAK'!BA245</f>
        <v>40</v>
      </c>
      <c r="AY30" s="248"/>
      <c r="AZ30" s="248"/>
      <c r="BA30" s="119">
        <f t="shared" si="10"/>
        <v>80</v>
      </c>
      <c r="BB30" s="120" t="str">
        <f t="shared" si="11"/>
        <v>D</v>
      </c>
      <c r="BC30" s="247">
        <f>'A-RACHNATMAK'!Z287</f>
        <v>40</v>
      </c>
      <c r="BD30" s="248"/>
      <c r="BE30" s="248"/>
      <c r="BF30" s="249">
        <f>'A-RACHNATMAK'!BA287</f>
        <v>40</v>
      </c>
      <c r="BG30" s="248"/>
      <c r="BH30" s="248"/>
      <c r="BI30" s="119">
        <f t="shared" si="12"/>
        <v>80</v>
      </c>
      <c r="BJ30" s="120" t="str">
        <f t="shared" si="13"/>
        <v>D</v>
      </c>
      <c r="BK30" s="203">
        <f t="shared" ca="1" si="19"/>
        <v>0</v>
      </c>
      <c r="BL30" s="120" t="str">
        <f t="shared" ca="1" si="15"/>
        <v/>
      </c>
      <c r="BM30" s="127">
        <v>68</v>
      </c>
      <c r="BN30" s="127">
        <v>68</v>
      </c>
      <c r="BO30" s="127">
        <v>68</v>
      </c>
      <c r="BP30" s="127">
        <v>68</v>
      </c>
      <c r="BQ30" s="127">
        <v>76.666666666666671</v>
      </c>
      <c r="BR30" s="127">
        <v>68</v>
      </c>
      <c r="BS30" s="127">
        <v>77.142857142857139</v>
      </c>
      <c r="BT30" s="127">
        <v>34</v>
      </c>
      <c r="BU30" s="141">
        <f t="shared" ca="1" si="16"/>
        <v>518</v>
      </c>
      <c r="BV30" s="142">
        <f t="shared" ca="1" si="17"/>
        <v>28.78</v>
      </c>
      <c r="BW30" s="120" t="str">
        <f t="shared" ca="1" si="18"/>
        <v>E</v>
      </c>
    </row>
    <row r="31" spans="1:75" ht="17.25" customHeight="1">
      <c r="A31" s="237">
        <v>26</v>
      </c>
      <c r="B31" s="244" t="str">
        <f>'A-RACHNATMAK'!B288</f>
        <v>ગૌસ્વામિ મયુરીબેન રમેશગીરી</v>
      </c>
      <c r="C31" s="245">
        <f>STUDENTS!D304</f>
        <v>0</v>
      </c>
      <c r="D31" s="246">
        <f>STUDENTS!D306</f>
        <v>0</v>
      </c>
      <c r="E31" s="247">
        <f>'A-RACHNATMAK'!Z36</f>
        <v>29</v>
      </c>
      <c r="F31" s="248"/>
      <c r="G31" s="248"/>
      <c r="H31" s="249">
        <f>'A-RACHNATMAK'!BA36</f>
        <v>31</v>
      </c>
      <c r="I31" s="248"/>
      <c r="J31" s="248"/>
      <c r="K31" s="119">
        <f t="shared" si="0"/>
        <v>60</v>
      </c>
      <c r="L31" s="120" t="str">
        <f t="shared" si="1"/>
        <v>E</v>
      </c>
      <c r="M31" s="247">
        <f>'A-RACHNATMAK'!Z78</f>
        <v>29</v>
      </c>
      <c r="N31" s="248"/>
      <c r="O31" s="248"/>
      <c r="P31" s="249">
        <f>'A-RACHNATMAK'!BA78</f>
        <v>29</v>
      </c>
      <c r="Q31" s="248"/>
      <c r="R31" s="248"/>
      <c r="S31" s="119">
        <f t="shared" si="2"/>
        <v>58</v>
      </c>
      <c r="T31" s="120" t="str">
        <f t="shared" si="3"/>
        <v>E</v>
      </c>
      <c r="U31" s="71"/>
      <c r="V31" s="247">
        <f>'A-RACHNATMAK'!Z120</f>
        <v>40</v>
      </c>
      <c r="W31" s="248"/>
      <c r="X31" s="248"/>
      <c r="Y31" s="249">
        <f>'A-RACHNATMAK'!BA120</f>
        <v>40</v>
      </c>
      <c r="Z31" s="248"/>
      <c r="AA31" s="248"/>
      <c r="AB31" s="119">
        <f t="shared" si="4"/>
        <v>80</v>
      </c>
      <c r="AC31" s="120" t="str">
        <f t="shared" si="5"/>
        <v>D</v>
      </c>
      <c r="AD31" s="247">
        <f>'A-RACHNATMAK'!Z204</f>
        <v>40</v>
      </c>
      <c r="AE31" s="248"/>
      <c r="AF31" s="248"/>
      <c r="AG31" s="249">
        <f>'A-RACHNATMAK'!BA204</f>
        <v>40</v>
      </c>
      <c r="AH31" s="248"/>
      <c r="AI31" s="248"/>
      <c r="AJ31" s="119">
        <f t="shared" si="6"/>
        <v>80</v>
      </c>
      <c r="AK31" s="120" t="str">
        <f t="shared" si="7"/>
        <v>D</v>
      </c>
      <c r="AL31" s="71"/>
      <c r="AM31" s="247">
        <f>'A-RACHNATMAK'!Z162</f>
        <v>40</v>
      </c>
      <c r="AN31" s="248"/>
      <c r="AO31" s="248"/>
      <c r="AP31" s="249">
        <f>'A-RACHNATMAK'!BA162</f>
        <v>40</v>
      </c>
      <c r="AQ31" s="248"/>
      <c r="AR31" s="248"/>
      <c r="AS31" s="119">
        <f t="shared" si="8"/>
        <v>80</v>
      </c>
      <c r="AT31" s="120" t="str">
        <f t="shared" si="9"/>
        <v>D</v>
      </c>
      <c r="AU31" s="247">
        <f>'A-RACHNATMAK'!Z246</f>
        <v>40</v>
      </c>
      <c r="AV31" s="248"/>
      <c r="AW31" s="248"/>
      <c r="AX31" s="249">
        <f>'A-RACHNATMAK'!BA246</f>
        <v>40</v>
      </c>
      <c r="AY31" s="248"/>
      <c r="AZ31" s="248"/>
      <c r="BA31" s="119">
        <f t="shared" si="10"/>
        <v>80</v>
      </c>
      <c r="BB31" s="120" t="str">
        <f t="shared" si="11"/>
        <v>D</v>
      </c>
      <c r="BC31" s="247">
        <f>'A-RACHNATMAK'!Z288</f>
        <v>40</v>
      </c>
      <c r="BD31" s="248"/>
      <c r="BE31" s="248"/>
      <c r="BF31" s="249">
        <f>'A-RACHNATMAK'!BA288</f>
        <v>40</v>
      </c>
      <c r="BG31" s="248"/>
      <c r="BH31" s="248"/>
      <c r="BI31" s="119">
        <f t="shared" si="12"/>
        <v>80</v>
      </c>
      <c r="BJ31" s="120" t="str">
        <f t="shared" si="13"/>
        <v>D</v>
      </c>
      <c r="BK31" s="203">
        <f t="shared" ca="1" si="19"/>
        <v>0</v>
      </c>
      <c r="BL31" s="120" t="str">
        <f t="shared" ca="1" si="15"/>
        <v/>
      </c>
      <c r="BM31" s="127">
        <v>68</v>
      </c>
      <c r="BN31" s="127">
        <v>68</v>
      </c>
      <c r="BO31" s="127">
        <v>68</v>
      </c>
      <c r="BP31" s="127">
        <v>68</v>
      </c>
      <c r="BQ31" s="127">
        <v>76.666666666666671</v>
      </c>
      <c r="BR31" s="127">
        <v>68</v>
      </c>
      <c r="BS31" s="127">
        <v>77.142857142857139</v>
      </c>
      <c r="BT31" s="127">
        <v>34</v>
      </c>
      <c r="BU31" s="141">
        <f t="shared" ca="1" si="16"/>
        <v>518</v>
      </c>
      <c r="BV31" s="142">
        <f t="shared" ca="1" si="17"/>
        <v>28.78</v>
      </c>
      <c r="BW31" s="120" t="str">
        <f t="shared" ca="1" si="18"/>
        <v>E</v>
      </c>
    </row>
    <row r="32" spans="1:75" ht="17.25" customHeight="1">
      <c r="A32" s="237">
        <v>27</v>
      </c>
      <c r="B32" s="244" t="str">
        <f>'A-RACHNATMAK'!B289</f>
        <v>બતાડા જાનકી વાલાભાઇ</v>
      </c>
      <c r="C32" s="245">
        <f>STUDENTS!D316</f>
        <v>0</v>
      </c>
      <c r="D32" s="246">
        <f>STUDENTS!D318</f>
        <v>0</v>
      </c>
      <c r="E32" s="247">
        <f>'A-RACHNATMAK'!Z37</f>
        <v>29</v>
      </c>
      <c r="F32" s="248"/>
      <c r="G32" s="248"/>
      <c r="H32" s="249">
        <f>'A-RACHNATMAK'!BA37</f>
        <v>31</v>
      </c>
      <c r="I32" s="248"/>
      <c r="J32" s="248"/>
      <c r="K32" s="119">
        <f t="shared" si="0"/>
        <v>60</v>
      </c>
      <c r="L32" s="120" t="str">
        <f t="shared" si="1"/>
        <v>E</v>
      </c>
      <c r="M32" s="247">
        <f>'A-RACHNATMAK'!Z79</f>
        <v>29</v>
      </c>
      <c r="N32" s="248"/>
      <c r="O32" s="248"/>
      <c r="P32" s="249">
        <f>'A-RACHNATMAK'!BA79</f>
        <v>29</v>
      </c>
      <c r="Q32" s="248"/>
      <c r="R32" s="248"/>
      <c r="S32" s="119">
        <f t="shared" si="2"/>
        <v>58</v>
      </c>
      <c r="T32" s="120" t="str">
        <f t="shared" si="3"/>
        <v>E</v>
      </c>
      <c r="U32" s="71"/>
      <c r="V32" s="247">
        <f>'A-RACHNATMAK'!Z121</f>
        <v>40</v>
      </c>
      <c r="W32" s="248"/>
      <c r="X32" s="248"/>
      <c r="Y32" s="249">
        <f>'A-RACHNATMAK'!BA121</f>
        <v>40</v>
      </c>
      <c r="Z32" s="248"/>
      <c r="AA32" s="248"/>
      <c r="AB32" s="119">
        <f t="shared" si="4"/>
        <v>80</v>
      </c>
      <c r="AC32" s="120" t="str">
        <f t="shared" si="5"/>
        <v>D</v>
      </c>
      <c r="AD32" s="247">
        <f>'A-RACHNATMAK'!Z205</f>
        <v>40</v>
      </c>
      <c r="AE32" s="248"/>
      <c r="AF32" s="248"/>
      <c r="AG32" s="249">
        <f>'A-RACHNATMAK'!BA205</f>
        <v>40</v>
      </c>
      <c r="AH32" s="248"/>
      <c r="AI32" s="248"/>
      <c r="AJ32" s="119">
        <f t="shared" si="6"/>
        <v>80</v>
      </c>
      <c r="AK32" s="120" t="str">
        <f t="shared" si="7"/>
        <v>D</v>
      </c>
      <c r="AL32" s="71"/>
      <c r="AM32" s="247">
        <f>'A-RACHNATMAK'!Z163</f>
        <v>40</v>
      </c>
      <c r="AN32" s="248"/>
      <c r="AO32" s="248"/>
      <c r="AP32" s="249">
        <f>'A-RACHNATMAK'!BA163</f>
        <v>40</v>
      </c>
      <c r="AQ32" s="248"/>
      <c r="AR32" s="248"/>
      <c r="AS32" s="119">
        <f t="shared" si="8"/>
        <v>80</v>
      </c>
      <c r="AT32" s="120" t="str">
        <f t="shared" si="9"/>
        <v>D</v>
      </c>
      <c r="AU32" s="247">
        <f>'A-RACHNATMAK'!Z247</f>
        <v>40</v>
      </c>
      <c r="AV32" s="248"/>
      <c r="AW32" s="248"/>
      <c r="AX32" s="249">
        <f>'A-RACHNATMAK'!BA247</f>
        <v>40</v>
      </c>
      <c r="AY32" s="248"/>
      <c r="AZ32" s="248"/>
      <c r="BA32" s="119">
        <f t="shared" si="10"/>
        <v>80</v>
      </c>
      <c r="BB32" s="120" t="str">
        <f t="shared" si="11"/>
        <v>D</v>
      </c>
      <c r="BC32" s="247">
        <f>'A-RACHNATMAK'!Z289</f>
        <v>40</v>
      </c>
      <c r="BD32" s="248"/>
      <c r="BE32" s="248"/>
      <c r="BF32" s="249">
        <f>'A-RACHNATMAK'!BA289</f>
        <v>40</v>
      </c>
      <c r="BG32" s="248"/>
      <c r="BH32" s="248"/>
      <c r="BI32" s="119">
        <f t="shared" si="12"/>
        <v>80</v>
      </c>
      <c r="BJ32" s="120" t="str">
        <f t="shared" si="13"/>
        <v>D</v>
      </c>
      <c r="BK32" s="203">
        <f t="shared" ca="1" si="19"/>
        <v>0</v>
      </c>
      <c r="BL32" s="120" t="str">
        <f t="shared" ca="1" si="15"/>
        <v/>
      </c>
      <c r="BM32" s="127">
        <v>68</v>
      </c>
      <c r="BN32" s="127">
        <v>68</v>
      </c>
      <c r="BO32" s="127">
        <v>68</v>
      </c>
      <c r="BP32" s="127">
        <v>68</v>
      </c>
      <c r="BQ32" s="127">
        <v>76.666666666666671</v>
      </c>
      <c r="BR32" s="127">
        <v>68</v>
      </c>
      <c r="BS32" s="127">
        <v>77.142857142857139</v>
      </c>
      <c r="BT32" s="127">
        <v>34</v>
      </c>
      <c r="BU32" s="141">
        <f t="shared" ca="1" si="16"/>
        <v>518</v>
      </c>
      <c r="BV32" s="142">
        <f t="shared" ca="1" si="17"/>
        <v>28.78</v>
      </c>
      <c r="BW32" s="120" t="str">
        <f t="shared" ca="1" si="18"/>
        <v>E</v>
      </c>
    </row>
    <row r="33" spans="1:75" ht="17.25" customHeight="1">
      <c r="A33" s="237">
        <v>28</v>
      </c>
      <c r="B33" s="244" t="str">
        <f>'A-RACHNATMAK'!B290</f>
        <v>બતાડા ક્રિષ્નાબેન દેવશીભાઇ</v>
      </c>
      <c r="C33" s="245">
        <f>STUDENTS!D328</f>
        <v>0</v>
      </c>
      <c r="D33" s="246">
        <f>STUDENTS!D330</f>
        <v>0</v>
      </c>
      <c r="E33" s="247">
        <f>'A-RACHNATMAK'!Z38</f>
        <v>29</v>
      </c>
      <c r="F33" s="248"/>
      <c r="G33" s="248"/>
      <c r="H33" s="249">
        <f>'A-RACHNATMAK'!BA38</f>
        <v>31</v>
      </c>
      <c r="I33" s="248"/>
      <c r="J33" s="248"/>
      <c r="K33" s="119">
        <f t="shared" si="0"/>
        <v>60</v>
      </c>
      <c r="L33" s="120" t="str">
        <f t="shared" si="1"/>
        <v>E</v>
      </c>
      <c r="M33" s="247">
        <f>'A-RACHNATMAK'!Z80</f>
        <v>29</v>
      </c>
      <c r="N33" s="248"/>
      <c r="O33" s="248"/>
      <c r="P33" s="249">
        <f>'A-RACHNATMAK'!BA80</f>
        <v>29</v>
      </c>
      <c r="Q33" s="248"/>
      <c r="R33" s="248"/>
      <c r="S33" s="119">
        <f t="shared" si="2"/>
        <v>58</v>
      </c>
      <c r="T33" s="120" t="str">
        <f t="shared" si="3"/>
        <v>E</v>
      </c>
      <c r="U33" s="71"/>
      <c r="V33" s="247">
        <f>'A-RACHNATMAK'!Z122</f>
        <v>40</v>
      </c>
      <c r="W33" s="248"/>
      <c r="X33" s="248"/>
      <c r="Y33" s="249">
        <f>'A-RACHNATMAK'!BA122</f>
        <v>40</v>
      </c>
      <c r="Z33" s="248"/>
      <c r="AA33" s="248"/>
      <c r="AB33" s="119">
        <f t="shared" si="4"/>
        <v>80</v>
      </c>
      <c r="AC33" s="120" t="str">
        <f t="shared" si="5"/>
        <v>D</v>
      </c>
      <c r="AD33" s="247">
        <f>'A-RACHNATMAK'!Z206</f>
        <v>40</v>
      </c>
      <c r="AE33" s="248"/>
      <c r="AF33" s="248"/>
      <c r="AG33" s="249">
        <f>'A-RACHNATMAK'!BA206</f>
        <v>40</v>
      </c>
      <c r="AH33" s="248"/>
      <c r="AI33" s="248"/>
      <c r="AJ33" s="119">
        <f t="shared" si="6"/>
        <v>80</v>
      </c>
      <c r="AK33" s="120" t="str">
        <f t="shared" si="7"/>
        <v>D</v>
      </c>
      <c r="AL33" s="71"/>
      <c r="AM33" s="247">
        <f>'A-RACHNATMAK'!Z164</f>
        <v>40</v>
      </c>
      <c r="AN33" s="248"/>
      <c r="AO33" s="248"/>
      <c r="AP33" s="249">
        <f>'A-RACHNATMAK'!BA164</f>
        <v>40</v>
      </c>
      <c r="AQ33" s="248"/>
      <c r="AR33" s="248"/>
      <c r="AS33" s="119">
        <f t="shared" si="8"/>
        <v>80</v>
      </c>
      <c r="AT33" s="120" t="str">
        <f t="shared" si="9"/>
        <v>D</v>
      </c>
      <c r="AU33" s="247">
        <f>'A-RACHNATMAK'!Z248</f>
        <v>40</v>
      </c>
      <c r="AV33" s="248"/>
      <c r="AW33" s="248"/>
      <c r="AX33" s="249">
        <f>'A-RACHNATMAK'!BA248</f>
        <v>40</v>
      </c>
      <c r="AY33" s="248"/>
      <c r="AZ33" s="248"/>
      <c r="BA33" s="119">
        <f t="shared" si="10"/>
        <v>80</v>
      </c>
      <c r="BB33" s="120" t="str">
        <f t="shared" si="11"/>
        <v>D</v>
      </c>
      <c r="BC33" s="247">
        <f>'A-RACHNATMAK'!Z290</f>
        <v>40</v>
      </c>
      <c r="BD33" s="248"/>
      <c r="BE33" s="248"/>
      <c r="BF33" s="249">
        <f>'A-RACHNATMAK'!BA290</f>
        <v>40</v>
      </c>
      <c r="BG33" s="248"/>
      <c r="BH33" s="248"/>
      <c r="BI33" s="119">
        <f t="shared" si="12"/>
        <v>80</v>
      </c>
      <c r="BJ33" s="120" t="str">
        <f t="shared" si="13"/>
        <v>D</v>
      </c>
      <c r="BK33" s="203">
        <f t="shared" ca="1" si="19"/>
        <v>0</v>
      </c>
      <c r="BL33" s="120" t="str">
        <f t="shared" ca="1" si="15"/>
        <v/>
      </c>
      <c r="BM33" s="127">
        <v>68</v>
      </c>
      <c r="BN33" s="127">
        <v>68</v>
      </c>
      <c r="BO33" s="127">
        <v>68</v>
      </c>
      <c r="BP33" s="127">
        <v>68</v>
      </c>
      <c r="BQ33" s="127">
        <v>76.666666666666671</v>
      </c>
      <c r="BR33" s="127">
        <v>68</v>
      </c>
      <c r="BS33" s="127">
        <v>77.142857142857139</v>
      </c>
      <c r="BT33" s="127">
        <v>34</v>
      </c>
      <c r="BU33" s="141">
        <f t="shared" ca="1" si="16"/>
        <v>518</v>
      </c>
      <c r="BV33" s="142">
        <f t="shared" ca="1" si="17"/>
        <v>28.78</v>
      </c>
      <c r="BW33" s="120" t="str">
        <f t="shared" ca="1" si="18"/>
        <v>E</v>
      </c>
    </row>
    <row r="34" spans="1:75" ht="17.25" customHeight="1">
      <c r="A34" s="237">
        <v>29</v>
      </c>
      <c r="B34" s="244" t="str">
        <f>'A-RACHNATMAK'!B291</f>
        <v>પરમાર અનિષા રમેશભાઇ</v>
      </c>
      <c r="C34" s="245">
        <f>STUDENTS!D340</f>
        <v>0</v>
      </c>
      <c r="D34" s="246">
        <f>STUDENTS!D342</f>
        <v>0</v>
      </c>
      <c r="E34" s="247">
        <f>'A-RACHNATMAK'!Z39</f>
        <v>29</v>
      </c>
      <c r="F34" s="248"/>
      <c r="G34" s="248"/>
      <c r="H34" s="249">
        <f>'A-RACHNATMAK'!BA39</f>
        <v>31</v>
      </c>
      <c r="I34" s="248"/>
      <c r="J34" s="248"/>
      <c r="K34" s="119">
        <f t="shared" si="0"/>
        <v>60</v>
      </c>
      <c r="L34" s="120" t="str">
        <f t="shared" si="1"/>
        <v>E</v>
      </c>
      <c r="M34" s="247">
        <f>'A-RACHNATMAK'!Z81</f>
        <v>29</v>
      </c>
      <c r="N34" s="248"/>
      <c r="O34" s="248"/>
      <c r="P34" s="249">
        <f>'A-RACHNATMAK'!BA81</f>
        <v>29</v>
      </c>
      <c r="Q34" s="248"/>
      <c r="R34" s="248"/>
      <c r="S34" s="119">
        <f t="shared" si="2"/>
        <v>58</v>
      </c>
      <c r="T34" s="120" t="str">
        <f t="shared" si="3"/>
        <v>E</v>
      </c>
      <c r="U34" s="71"/>
      <c r="V34" s="247">
        <f>'A-RACHNATMAK'!Z123</f>
        <v>40</v>
      </c>
      <c r="W34" s="248"/>
      <c r="X34" s="248"/>
      <c r="Y34" s="249">
        <f>'A-RACHNATMAK'!BA123</f>
        <v>40</v>
      </c>
      <c r="Z34" s="248"/>
      <c r="AA34" s="248"/>
      <c r="AB34" s="119">
        <f t="shared" si="4"/>
        <v>80</v>
      </c>
      <c r="AC34" s="120" t="str">
        <f t="shared" si="5"/>
        <v>D</v>
      </c>
      <c r="AD34" s="247">
        <f>'A-RACHNATMAK'!Z207</f>
        <v>40</v>
      </c>
      <c r="AE34" s="248"/>
      <c r="AF34" s="248"/>
      <c r="AG34" s="249">
        <f>'A-RACHNATMAK'!BA207</f>
        <v>40</v>
      </c>
      <c r="AH34" s="248"/>
      <c r="AI34" s="248"/>
      <c r="AJ34" s="119">
        <f t="shared" si="6"/>
        <v>80</v>
      </c>
      <c r="AK34" s="120" t="str">
        <f t="shared" si="7"/>
        <v>D</v>
      </c>
      <c r="AL34" s="71"/>
      <c r="AM34" s="247">
        <f>'A-RACHNATMAK'!Z165</f>
        <v>40</v>
      </c>
      <c r="AN34" s="248"/>
      <c r="AO34" s="248"/>
      <c r="AP34" s="249">
        <f>'A-RACHNATMAK'!BA165</f>
        <v>40</v>
      </c>
      <c r="AQ34" s="248"/>
      <c r="AR34" s="248"/>
      <c r="AS34" s="119">
        <f t="shared" si="8"/>
        <v>80</v>
      </c>
      <c r="AT34" s="120" t="str">
        <f t="shared" si="9"/>
        <v>D</v>
      </c>
      <c r="AU34" s="247">
        <f>'A-RACHNATMAK'!Z249</f>
        <v>40</v>
      </c>
      <c r="AV34" s="248"/>
      <c r="AW34" s="248"/>
      <c r="AX34" s="249">
        <f>'A-RACHNATMAK'!BA249</f>
        <v>40</v>
      </c>
      <c r="AY34" s="248"/>
      <c r="AZ34" s="248"/>
      <c r="BA34" s="119">
        <f t="shared" si="10"/>
        <v>80</v>
      </c>
      <c r="BB34" s="120" t="str">
        <f t="shared" si="11"/>
        <v>D</v>
      </c>
      <c r="BC34" s="247">
        <f>'A-RACHNATMAK'!Z291</f>
        <v>40</v>
      </c>
      <c r="BD34" s="248"/>
      <c r="BE34" s="248"/>
      <c r="BF34" s="249">
        <f>'A-RACHNATMAK'!BA291</f>
        <v>40</v>
      </c>
      <c r="BG34" s="248"/>
      <c r="BH34" s="248"/>
      <c r="BI34" s="119">
        <f t="shared" si="12"/>
        <v>80</v>
      </c>
      <c r="BJ34" s="120" t="str">
        <f t="shared" si="13"/>
        <v>D</v>
      </c>
      <c r="BK34" s="203">
        <f t="shared" ca="1" si="19"/>
        <v>0</v>
      </c>
      <c r="BL34" s="120" t="str">
        <f t="shared" ca="1" si="15"/>
        <v/>
      </c>
      <c r="BM34" s="127">
        <v>68</v>
      </c>
      <c r="BN34" s="127">
        <v>68</v>
      </c>
      <c r="BO34" s="127">
        <v>68</v>
      </c>
      <c r="BP34" s="127">
        <v>68</v>
      </c>
      <c r="BQ34" s="127">
        <v>76.666666666666671</v>
      </c>
      <c r="BR34" s="127">
        <v>68</v>
      </c>
      <c r="BS34" s="127">
        <v>77.142857142857139</v>
      </c>
      <c r="BT34" s="127">
        <v>34</v>
      </c>
      <c r="BU34" s="141">
        <f t="shared" ca="1" si="16"/>
        <v>518</v>
      </c>
      <c r="BV34" s="142">
        <f t="shared" ca="1" si="17"/>
        <v>28.78</v>
      </c>
      <c r="BW34" s="120" t="str">
        <f t="shared" ca="1" si="18"/>
        <v>E</v>
      </c>
    </row>
    <row r="35" spans="1:75" ht="17.25" customHeight="1">
      <c r="A35" s="237">
        <v>30</v>
      </c>
      <c r="B35" s="244" t="str">
        <f>'A-RACHNATMAK'!B292</f>
        <v>મકરૂબિયા નમ્રતા વશરામભાઇ</v>
      </c>
      <c r="C35" s="245">
        <f>STUDENTS!D352</f>
        <v>0</v>
      </c>
      <c r="D35" s="246">
        <f>STUDENTS!D354</f>
        <v>0</v>
      </c>
      <c r="E35" s="247">
        <f>'A-RACHNATMAK'!Z40</f>
        <v>29</v>
      </c>
      <c r="F35" s="248"/>
      <c r="G35" s="248"/>
      <c r="H35" s="249">
        <f>'A-RACHNATMAK'!BA40</f>
        <v>31</v>
      </c>
      <c r="I35" s="248"/>
      <c r="J35" s="248"/>
      <c r="K35" s="119">
        <f t="shared" si="0"/>
        <v>60</v>
      </c>
      <c r="L35" s="120" t="str">
        <f t="shared" si="1"/>
        <v>E</v>
      </c>
      <c r="M35" s="247">
        <f>'A-RACHNATMAK'!Z82</f>
        <v>29</v>
      </c>
      <c r="N35" s="248"/>
      <c r="O35" s="248"/>
      <c r="P35" s="249">
        <f>'A-RACHNATMAK'!BA82</f>
        <v>29</v>
      </c>
      <c r="Q35" s="248"/>
      <c r="R35" s="248"/>
      <c r="S35" s="119">
        <f t="shared" si="2"/>
        <v>58</v>
      </c>
      <c r="T35" s="120" t="str">
        <f t="shared" si="3"/>
        <v>E</v>
      </c>
      <c r="U35" s="71"/>
      <c r="V35" s="247">
        <f>'A-RACHNATMAK'!Z124</f>
        <v>40</v>
      </c>
      <c r="W35" s="248"/>
      <c r="X35" s="248"/>
      <c r="Y35" s="249">
        <f>'A-RACHNATMAK'!BA124</f>
        <v>40</v>
      </c>
      <c r="Z35" s="248"/>
      <c r="AA35" s="248"/>
      <c r="AB35" s="119">
        <f t="shared" si="4"/>
        <v>80</v>
      </c>
      <c r="AC35" s="120" t="str">
        <f t="shared" si="5"/>
        <v>D</v>
      </c>
      <c r="AD35" s="247">
        <f>'A-RACHNATMAK'!Z208</f>
        <v>40</v>
      </c>
      <c r="AE35" s="248"/>
      <c r="AF35" s="248"/>
      <c r="AG35" s="249">
        <f>'A-RACHNATMAK'!BA208</f>
        <v>40</v>
      </c>
      <c r="AH35" s="248"/>
      <c r="AI35" s="248"/>
      <c r="AJ35" s="119">
        <f t="shared" si="6"/>
        <v>80</v>
      </c>
      <c r="AK35" s="120" t="str">
        <f t="shared" si="7"/>
        <v>D</v>
      </c>
      <c r="AL35" s="71"/>
      <c r="AM35" s="247">
        <f>'A-RACHNATMAK'!Z166</f>
        <v>40</v>
      </c>
      <c r="AN35" s="248"/>
      <c r="AO35" s="248"/>
      <c r="AP35" s="249">
        <f>'A-RACHNATMAK'!BA166</f>
        <v>40</v>
      </c>
      <c r="AQ35" s="248"/>
      <c r="AR35" s="248"/>
      <c r="AS35" s="119">
        <f t="shared" si="8"/>
        <v>80</v>
      </c>
      <c r="AT35" s="120" t="str">
        <f t="shared" si="9"/>
        <v>D</v>
      </c>
      <c r="AU35" s="247">
        <f>'A-RACHNATMAK'!Z250</f>
        <v>40</v>
      </c>
      <c r="AV35" s="248"/>
      <c r="AW35" s="248"/>
      <c r="AX35" s="249">
        <f>'A-RACHNATMAK'!BA250</f>
        <v>40</v>
      </c>
      <c r="AY35" s="248"/>
      <c r="AZ35" s="248"/>
      <c r="BA35" s="119">
        <f t="shared" si="10"/>
        <v>80</v>
      </c>
      <c r="BB35" s="120" t="str">
        <f t="shared" si="11"/>
        <v>D</v>
      </c>
      <c r="BC35" s="247">
        <f>'A-RACHNATMAK'!Z292</f>
        <v>40</v>
      </c>
      <c r="BD35" s="248"/>
      <c r="BE35" s="248"/>
      <c r="BF35" s="249">
        <f>'A-RACHNATMAK'!BA292</f>
        <v>40</v>
      </c>
      <c r="BG35" s="248"/>
      <c r="BH35" s="248"/>
      <c r="BI35" s="119">
        <f t="shared" si="12"/>
        <v>80</v>
      </c>
      <c r="BJ35" s="120" t="str">
        <f t="shared" si="13"/>
        <v>D</v>
      </c>
      <c r="BK35" s="203">
        <f t="shared" ca="1" si="19"/>
        <v>21</v>
      </c>
      <c r="BL35" s="120" t="str">
        <f t="shared" ca="1" si="15"/>
        <v>E</v>
      </c>
      <c r="BM35" s="127">
        <v>68</v>
      </c>
      <c r="BN35" s="127">
        <v>68</v>
      </c>
      <c r="BO35" s="127">
        <v>68</v>
      </c>
      <c r="BP35" s="127">
        <v>68</v>
      </c>
      <c r="BQ35" s="127">
        <v>76.666666666666671</v>
      </c>
      <c r="BR35" s="127">
        <v>68</v>
      </c>
      <c r="BS35" s="127">
        <v>77.142857142857139</v>
      </c>
      <c r="BT35" s="127">
        <v>34</v>
      </c>
      <c r="BU35" s="141">
        <f t="shared" ca="1" si="16"/>
        <v>539</v>
      </c>
      <c r="BV35" s="142">
        <f t="shared" ca="1" si="17"/>
        <v>29.94</v>
      </c>
      <c r="BW35" s="120" t="str">
        <f t="shared" ca="1" si="18"/>
        <v>E</v>
      </c>
    </row>
    <row r="36" spans="1:75" ht="17.25" customHeight="1">
      <c r="A36" s="237">
        <v>31</v>
      </c>
      <c r="B36" s="244">
        <f>'A-RACHNATMAK'!B293</f>
        <v>0</v>
      </c>
      <c r="C36" s="245">
        <f>STUDENTS!D364</f>
        <v>0</v>
      </c>
      <c r="D36" s="246">
        <f>STUDENTS!D366</f>
        <v>0</v>
      </c>
      <c r="E36" s="247">
        <f>'A-RACHNATMAK'!Z41</f>
        <v>0</v>
      </c>
      <c r="F36" s="248"/>
      <c r="G36" s="248"/>
      <c r="H36" s="249">
        <f>'A-RACHNATMAK'!BA41</f>
        <v>0</v>
      </c>
      <c r="I36" s="248"/>
      <c r="J36" s="248"/>
      <c r="K36" s="119">
        <f t="shared" si="0"/>
        <v>0</v>
      </c>
      <c r="L36" s="120" t="str">
        <f t="shared" si="1"/>
        <v/>
      </c>
      <c r="M36" s="247">
        <f>'A-RACHNATMAK'!Z83</f>
        <v>0</v>
      </c>
      <c r="N36" s="248"/>
      <c r="O36" s="248"/>
      <c r="P36" s="249">
        <f>'A-RACHNATMAK'!BA83</f>
        <v>0</v>
      </c>
      <c r="Q36" s="248"/>
      <c r="R36" s="248"/>
      <c r="S36" s="119">
        <f t="shared" si="2"/>
        <v>0</v>
      </c>
      <c r="T36" s="120" t="str">
        <f t="shared" si="3"/>
        <v/>
      </c>
      <c r="U36" s="71"/>
      <c r="V36" s="247">
        <f>'A-RACHNATMAK'!Z125</f>
        <v>0</v>
      </c>
      <c r="W36" s="248"/>
      <c r="X36" s="248"/>
      <c r="Y36" s="249">
        <f>'A-RACHNATMAK'!BA125</f>
        <v>0</v>
      </c>
      <c r="Z36" s="248"/>
      <c r="AA36" s="248"/>
      <c r="AB36" s="119">
        <f t="shared" si="4"/>
        <v>0</v>
      </c>
      <c r="AC36" s="120" t="str">
        <f t="shared" si="5"/>
        <v/>
      </c>
      <c r="AD36" s="247">
        <f>'A-RACHNATMAK'!Z209</f>
        <v>0</v>
      </c>
      <c r="AE36" s="248"/>
      <c r="AF36" s="248"/>
      <c r="AG36" s="249">
        <f>'A-RACHNATMAK'!BA209</f>
        <v>0</v>
      </c>
      <c r="AH36" s="248"/>
      <c r="AI36" s="248"/>
      <c r="AJ36" s="119">
        <f t="shared" si="6"/>
        <v>0</v>
      </c>
      <c r="AK36" s="120" t="str">
        <f t="shared" si="7"/>
        <v/>
      </c>
      <c r="AL36" s="71"/>
      <c r="AM36" s="247">
        <f>'A-RACHNATMAK'!Z167</f>
        <v>0</v>
      </c>
      <c r="AN36" s="248"/>
      <c r="AO36" s="248"/>
      <c r="AP36" s="249">
        <f>'A-RACHNATMAK'!BA167</f>
        <v>0</v>
      </c>
      <c r="AQ36" s="248"/>
      <c r="AR36" s="248"/>
      <c r="AS36" s="119">
        <f t="shared" si="8"/>
        <v>0</v>
      </c>
      <c r="AT36" s="120" t="str">
        <f t="shared" si="9"/>
        <v/>
      </c>
      <c r="AU36" s="247">
        <f>'A-RACHNATMAK'!Z251</f>
        <v>0</v>
      </c>
      <c r="AV36" s="248"/>
      <c r="AW36" s="248"/>
      <c r="AX36" s="249">
        <f>'A-RACHNATMAK'!BA251</f>
        <v>0</v>
      </c>
      <c r="AY36" s="248"/>
      <c r="AZ36" s="248"/>
      <c r="BA36" s="119">
        <f t="shared" si="10"/>
        <v>0</v>
      </c>
      <c r="BB36" s="120" t="str">
        <f t="shared" si="11"/>
        <v/>
      </c>
      <c r="BC36" s="247">
        <f>'A-RACHNATMAK'!Z293</f>
        <v>0</v>
      </c>
      <c r="BD36" s="248"/>
      <c r="BE36" s="248"/>
      <c r="BF36" s="249">
        <f>'A-RACHNATMAK'!BA293</f>
        <v>0</v>
      </c>
      <c r="BG36" s="248"/>
      <c r="BH36" s="248"/>
      <c r="BI36" s="119">
        <f t="shared" si="12"/>
        <v>0</v>
      </c>
      <c r="BJ36" s="120" t="str">
        <f t="shared" si="13"/>
        <v/>
      </c>
      <c r="BK36" s="203">
        <f t="shared" ca="1" si="19"/>
        <v>0</v>
      </c>
      <c r="BL36" s="120" t="str">
        <f t="shared" ca="1" si="15"/>
        <v/>
      </c>
      <c r="BM36" s="127">
        <v>68</v>
      </c>
      <c r="BN36" s="127">
        <v>68</v>
      </c>
      <c r="BO36" s="127">
        <v>68</v>
      </c>
      <c r="BP36" s="127">
        <v>68</v>
      </c>
      <c r="BQ36" s="127">
        <v>76.666666666666671</v>
      </c>
      <c r="BR36" s="127">
        <v>68</v>
      </c>
      <c r="BS36" s="127">
        <v>77.142857142857139</v>
      </c>
      <c r="BT36" s="127">
        <v>34</v>
      </c>
      <c r="BU36" s="141">
        <f t="shared" ca="1" si="16"/>
        <v>0</v>
      </c>
      <c r="BV36" s="142">
        <f t="shared" ca="1" si="17"/>
        <v>0</v>
      </c>
      <c r="BW36" s="120" t="str">
        <f t="shared" ca="1" si="18"/>
        <v/>
      </c>
    </row>
    <row r="37" spans="1:75" ht="17.25" customHeight="1">
      <c r="A37" s="237">
        <v>32</v>
      </c>
      <c r="B37" s="244">
        <f>'A-RACHNATMAK'!B294</f>
        <v>0</v>
      </c>
      <c r="C37" s="245">
        <f>STUDENTS!D376</f>
        <v>0</v>
      </c>
      <c r="D37" s="246">
        <f>STUDENTS!D378</f>
        <v>0</v>
      </c>
      <c r="E37" s="247">
        <f>'A-RACHNATMAK'!Z42</f>
        <v>0</v>
      </c>
      <c r="F37" s="248"/>
      <c r="G37" s="248"/>
      <c r="H37" s="249">
        <f>'A-RACHNATMAK'!BA42</f>
        <v>0</v>
      </c>
      <c r="I37" s="248"/>
      <c r="J37" s="248"/>
      <c r="K37" s="119">
        <f t="shared" si="0"/>
        <v>0</v>
      </c>
      <c r="L37" s="120" t="str">
        <f t="shared" si="1"/>
        <v/>
      </c>
      <c r="M37" s="247">
        <f>'A-RACHNATMAK'!Z84</f>
        <v>0</v>
      </c>
      <c r="N37" s="248"/>
      <c r="O37" s="248"/>
      <c r="P37" s="249">
        <f>'A-RACHNATMAK'!BA84</f>
        <v>0</v>
      </c>
      <c r="Q37" s="248"/>
      <c r="R37" s="248"/>
      <c r="S37" s="119">
        <f t="shared" si="2"/>
        <v>0</v>
      </c>
      <c r="T37" s="120" t="str">
        <f t="shared" si="3"/>
        <v/>
      </c>
      <c r="U37" s="71"/>
      <c r="V37" s="247">
        <f>'A-RACHNATMAK'!Z126</f>
        <v>0</v>
      </c>
      <c r="W37" s="248"/>
      <c r="X37" s="248"/>
      <c r="Y37" s="249">
        <f>'A-RACHNATMAK'!BA126</f>
        <v>0</v>
      </c>
      <c r="Z37" s="248"/>
      <c r="AA37" s="248"/>
      <c r="AB37" s="119">
        <f t="shared" si="4"/>
        <v>0</v>
      </c>
      <c r="AC37" s="120" t="str">
        <f t="shared" si="5"/>
        <v/>
      </c>
      <c r="AD37" s="247">
        <f>'A-RACHNATMAK'!Z210</f>
        <v>0</v>
      </c>
      <c r="AE37" s="248"/>
      <c r="AF37" s="248"/>
      <c r="AG37" s="249">
        <f>'A-RACHNATMAK'!BA210</f>
        <v>0</v>
      </c>
      <c r="AH37" s="248"/>
      <c r="AI37" s="248"/>
      <c r="AJ37" s="119">
        <f t="shared" si="6"/>
        <v>0</v>
      </c>
      <c r="AK37" s="120" t="str">
        <f t="shared" si="7"/>
        <v/>
      </c>
      <c r="AL37" s="71"/>
      <c r="AM37" s="247">
        <f>'A-RACHNATMAK'!Z168</f>
        <v>0</v>
      </c>
      <c r="AN37" s="248"/>
      <c r="AO37" s="248"/>
      <c r="AP37" s="249">
        <f>'A-RACHNATMAK'!BA168</f>
        <v>0</v>
      </c>
      <c r="AQ37" s="248"/>
      <c r="AR37" s="248"/>
      <c r="AS37" s="119">
        <f t="shared" si="8"/>
        <v>0</v>
      </c>
      <c r="AT37" s="120" t="str">
        <f t="shared" si="9"/>
        <v/>
      </c>
      <c r="AU37" s="247">
        <f>'A-RACHNATMAK'!Z252</f>
        <v>0</v>
      </c>
      <c r="AV37" s="248"/>
      <c r="AW37" s="248"/>
      <c r="AX37" s="249">
        <f>'A-RACHNATMAK'!BA252</f>
        <v>0</v>
      </c>
      <c r="AY37" s="248"/>
      <c r="AZ37" s="248"/>
      <c r="BA37" s="119">
        <f t="shared" si="10"/>
        <v>0</v>
      </c>
      <c r="BB37" s="120" t="str">
        <f t="shared" si="11"/>
        <v/>
      </c>
      <c r="BC37" s="247">
        <f>'A-RACHNATMAK'!Z294</f>
        <v>0</v>
      </c>
      <c r="BD37" s="248"/>
      <c r="BE37" s="248"/>
      <c r="BF37" s="249">
        <f>'A-RACHNATMAK'!BA294</f>
        <v>0</v>
      </c>
      <c r="BG37" s="248"/>
      <c r="BH37" s="248"/>
      <c r="BI37" s="119">
        <f t="shared" si="12"/>
        <v>0</v>
      </c>
      <c r="BJ37" s="120" t="str">
        <f t="shared" si="13"/>
        <v/>
      </c>
      <c r="BK37" s="203">
        <f t="shared" ca="1" si="19"/>
        <v>0</v>
      </c>
      <c r="BL37" s="120" t="str">
        <f t="shared" ca="1" si="15"/>
        <v/>
      </c>
      <c r="BM37" s="127">
        <v>68</v>
      </c>
      <c r="BN37" s="127">
        <v>68</v>
      </c>
      <c r="BO37" s="127">
        <v>68</v>
      </c>
      <c r="BP37" s="127">
        <v>68</v>
      </c>
      <c r="BQ37" s="127">
        <v>76.666666666666671</v>
      </c>
      <c r="BR37" s="127">
        <v>68</v>
      </c>
      <c r="BS37" s="127">
        <v>77.142857142857139</v>
      </c>
      <c r="BT37" s="127">
        <v>34</v>
      </c>
      <c r="BU37" s="141">
        <f t="shared" ca="1" si="16"/>
        <v>0</v>
      </c>
      <c r="BV37" s="142">
        <f t="shared" ca="1" si="17"/>
        <v>0</v>
      </c>
      <c r="BW37" s="120" t="str">
        <f t="shared" ca="1" si="18"/>
        <v/>
      </c>
    </row>
    <row r="38" spans="1:75" ht="17.25" customHeight="1">
      <c r="A38" s="237">
        <v>33</v>
      </c>
      <c r="B38" s="244">
        <f>'A-RACHNATMAK'!B295</f>
        <v>0</v>
      </c>
      <c r="C38" s="245">
        <f>STUDENTS!D388</f>
        <v>0</v>
      </c>
      <c r="D38" s="246">
        <f>STUDENTS!D390</f>
        <v>0</v>
      </c>
      <c r="E38" s="247">
        <f>'A-RACHNATMAK'!Z43</f>
        <v>0</v>
      </c>
      <c r="F38" s="248"/>
      <c r="G38" s="248"/>
      <c r="H38" s="249">
        <f>'A-RACHNATMAK'!BA43</f>
        <v>0</v>
      </c>
      <c r="I38" s="248"/>
      <c r="J38" s="248"/>
      <c r="K38" s="119">
        <f t="shared" si="0"/>
        <v>0</v>
      </c>
      <c r="L38" s="120" t="str">
        <f t="shared" si="1"/>
        <v/>
      </c>
      <c r="M38" s="247">
        <f>'A-RACHNATMAK'!Z85</f>
        <v>0</v>
      </c>
      <c r="N38" s="248"/>
      <c r="O38" s="248"/>
      <c r="P38" s="249">
        <f>'A-RACHNATMAK'!BA85</f>
        <v>0</v>
      </c>
      <c r="Q38" s="248"/>
      <c r="R38" s="248"/>
      <c r="S38" s="119">
        <f t="shared" si="2"/>
        <v>0</v>
      </c>
      <c r="T38" s="120" t="str">
        <f t="shared" si="3"/>
        <v/>
      </c>
      <c r="U38" s="71"/>
      <c r="V38" s="247">
        <f>'A-RACHNATMAK'!Z127</f>
        <v>0</v>
      </c>
      <c r="W38" s="248"/>
      <c r="X38" s="248"/>
      <c r="Y38" s="249">
        <f>'A-RACHNATMAK'!BA127</f>
        <v>0</v>
      </c>
      <c r="Z38" s="248"/>
      <c r="AA38" s="248"/>
      <c r="AB38" s="119">
        <f t="shared" si="4"/>
        <v>0</v>
      </c>
      <c r="AC38" s="120" t="str">
        <f t="shared" si="5"/>
        <v/>
      </c>
      <c r="AD38" s="247">
        <f>'A-RACHNATMAK'!Z211</f>
        <v>0</v>
      </c>
      <c r="AE38" s="248"/>
      <c r="AF38" s="248"/>
      <c r="AG38" s="249">
        <f>'A-RACHNATMAK'!BA211</f>
        <v>0</v>
      </c>
      <c r="AH38" s="248"/>
      <c r="AI38" s="248"/>
      <c r="AJ38" s="119">
        <f t="shared" si="6"/>
        <v>0</v>
      </c>
      <c r="AK38" s="120" t="str">
        <f t="shared" si="7"/>
        <v/>
      </c>
      <c r="AL38" s="71"/>
      <c r="AM38" s="247">
        <f>'A-RACHNATMAK'!Z169</f>
        <v>0</v>
      </c>
      <c r="AN38" s="248"/>
      <c r="AO38" s="248"/>
      <c r="AP38" s="249">
        <f>'A-RACHNATMAK'!BA169</f>
        <v>0</v>
      </c>
      <c r="AQ38" s="248"/>
      <c r="AR38" s="248"/>
      <c r="AS38" s="119">
        <f t="shared" si="8"/>
        <v>0</v>
      </c>
      <c r="AT38" s="120" t="str">
        <f t="shared" si="9"/>
        <v/>
      </c>
      <c r="AU38" s="247">
        <f>'A-RACHNATMAK'!Z253</f>
        <v>0</v>
      </c>
      <c r="AV38" s="248"/>
      <c r="AW38" s="248"/>
      <c r="AX38" s="249">
        <f>'A-RACHNATMAK'!BA253</f>
        <v>0</v>
      </c>
      <c r="AY38" s="248"/>
      <c r="AZ38" s="248"/>
      <c r="BA38" s="119">
        <f t="shared" si="10"/>
        <v>0</v>
      </c>
      <c r="BB38" s="120" t="str">
        <f t="shared" si="11"/>
        <v/>
      </c>
      <c r="BC38" s="247">
        <f>'A-RACHNATMAK'!Z295</f>
        <v>0</v>
      </c>
      <c r="BD38" s="248"/>
      <c r="BE38" s="248"/>
      <c r="BF38" s="249">
        <f>'A-RACHNATMAK'!BA295</f>
        <v>0</v>
      </c>
      <c r="BG38" s="248"/>
      <c r="BH38" s="248"/>
      <c r="BI38" s="119">
        <f t="shared" si="12"/>
        <v>0</v>
      </c>
      <c r="BJ38" s="120" t="str">
        <f t="shared" si="13"/>
        <v/>
      </c>
      <c r="BK38" s="203">
        <f t="shared" ca="1" si="19"/>
        <v>0</v>
      </c>
      <c r="BL38" s="120" t="str">
        <f t="shared" ca="1" si="15"/>
        <v/>
      </c>
      <c r="BM38" s="127">
        <v>68</v>
      </c>
      <c r="BN38" s="127">
        <v>68</v>
      </c>
      <c r="BO38" s="127">
        <v>68</v>
      </c>
      <c r="BP38" s="127">
        <v>68</v>
      </c>
      <c r="BQ38" s="127">
        <v>76.666666666666671</v>
      </c>
      <c r="BR38" s="127">
        <v>68</v>
      </c>
      <c r="BS38" s="127">
        <v>77.142857142857139</v>
      </c>
      <c r="BT38" s="127">
        <v>34</v>
      </c>
      <c r="BU38" s="141">
        <f t="shared" ca="1" si="16"/>
        <v>0</v>
      </c>
      <c r="BV38" s="142">
        <f t="shared" ca="1" si="17"/>
        <v>0</v>
      </c>
      <c r="BW38" s="120" t="str">
        <f t="shared" ca="1" si="18"/>
        <v/>
      </c>
    </row>
    <row r="39" spans="1:75" ht="17.25" customHeight="1">
      <c r="A39" s="237">
        <v>34</v>
      </c>
      <c r="B39" s="244">
        <f>'A-RACHNATMAK'!B296</f>
        <v>0</v>
      </c>
      <c r="C39" s="245">
        <f>STUDENTS!D400</f>
        <v>0</v>
      </c>
      <c r="D39" s="246">
        <f>STUDENTS!D402</f>
        <v>0</v>
      </c>
      <c r="E39" s="247">
        <f>'A-RACHNATMAK'!Z44</f>
        <v>0</v>
      </c>
      <c r="F39" s="248"/>
      <c r="G39" s="248"/>
      <c r="H39" s="249">
        <f>'A-RACHNATMAK'!BA44</f>
        <v>0</v>
      </c>
      <c r="I39" s="248"/>
      <c r="J39" s="248"/>
      <c r="K39" s="119">
        <f t="shared" si="0"/>
        <v>0</v>
      </c>
      <c r="L39" s="120" t="str">
        <f t="shared" si="1"/>
        <v/>
      </c>
      <c r="M39" s="247">
        <f>'A-RACHNATMAK'!Z86</f>
        <v>0</v>
      </c>
      <c r="N39" s="248"/>
      <c r="O39" s="248"/>
      <c r="P39" s="249">
        <f>'A-RACHNATMAK'!BA86</f>
        <v>0</v>
      </c>
      <c r="Q39" s="248"/>
      <c r="R39" s="248"/>
      <c r="S39" s="119">
        <f t="shared" si="2"/>
        <v>0</v>
      </c>
      <c r="T39" s="120" t="str">
        <f t="shared" si="3"/>
        <v/>
      </c>
      <c r="U39" s="71"/>
      <c r="V39" s="247">
        <f>'A-RACHNATMAK'!Z128</f>
        <v>0</v>
      </c>
      <c r="W39" s="248"/>
      <c r="X39" s="248"/>
      <c r="Y39" s="249">
        <f>'A-RACHNATMAK'!BA128</f>
        <v>0</v>
      </c>
      <c r="Z39" s="248"/>
      <c r="AA39" s="248"/>
      <c r="AB39" s="119">
        <f t="shared" si="4"/>
        <v>0</v>
      </c>
      <c r="AC39" s="120" t="str">
        <f t="shared" si="5"/>
        <v/>
      </c>
      <c r="AD39" s="247">
        <f>'A-RACHNATMAK'!Z212</f>
        <v>0</v>
      </c>
      <c r="AE39" s="248"/>
      <c r="AF39" s="248"/>
      <c r="AG39" s="249">
        <f>'A-RACHNATMAK'!BA212</f>
        <v>0</v>
      </c>
      <c r="AH39" s="248"/>
      <c r="AI39" s="248"/>
      <c r="AJ39" s="119">
        <f t="shared" si="6"/>
        <v>0</v>
      </c>
      <c r="AK39" s="120" t="str">
        <f t="shared" si="7"/>
        <v/>
      </c>
      <c r="AL39" s="71"/>
      <c r="AM39" s="247">
        <f>'A-RACHNATMAK'!Z170</f>
        <v>0</v>
      </c>
      <c r="AN39" s="248"/>
      <c r="AO39" s="248"/>
      <c r="AP39" s="249">
        <f>'A-RACHNATMAK'!BA170</f>
        <v>0</v>
      </c>
      <c r="AQ39" s="248"/>
      <c r="AR39" s="248"/>
      <c r="AS39" s="119">
        <f t="shared" si="8"/>
        <v>0</v>
      </c>
      <c r="AT39" s="120" t="str">
        <f t="shared" si="9"/>
        <v/>
      </c>
      <c r="AU39" s="247">
        <f>'A-RACHNATMAK'!Z254</f>
        <v>0</v>
      </c>
      <c r="AV39" s="248"/>
      <c r="AW39" s="248"/>
      <c r="AX39" s="249">
        <f>'A-RACHNATMAK'!BA254</f>
        <v>0</v>
      </c>
      <c r="AY39" s="248"/>
      <c r="AZ39" s="248"/>
      <c r="BA39" s="119">
        <f t="shared" si="10"/>
        <v>0</v>
      </c>
      <c r="BB39" s="120" t="str">
        <f t="shared" si="11"/>
        <v/>
      </c>
      <c r="BC39" s="247">
        <f>'A-RACHNATMAK'!Z296</f>
        <v>0</v>
      </c>
      <c r="BD39" s="248"/>
      <c r="BE39" s="248"/>
      <c r="BF39" s="249">
        <f>'A-RACHNATMAK'!BA296</f>
        <v>0</v>
      </c>
      <c r="BG39" s="248"/>
      <c r="BH39" s="248"/>
      <c r="BI39" s="119">
        <f t="shared" si="12"/>
        <v>0</v>
      </c>
      <c r="BJ39" s="120" t="str">
        <f t="shared" si="13"/>
        <v/>
      </c>
      <c r="BK39" s="203">
        <f t="shared" ca="1" si="19"/>
        <v>0</v>
      </c>
      <c r="BL39" s="120" t="str">
        <f t="shared" ca="1" si="15"/>
        <v/>
      </c>
      <c r="BM39" s="127">
        <v>68</v>
      </c>
      <c r="BN39" s="127">
        <v>68</v>
      </c>
      <c r="BO39" s="127">
        <v>68</v>
      </c>
      <c r="BP39" s="127">
        <v>68</v>
      </c>
      <c r="BQ39" s="127">
        <v>76.666666666666671</v>
      </c>
      <c r="BR39" s="127">
        <v>68</v>
      </c>
      <c r="BS39" s="127">
        <v>77.142857142857139</v>
      </c>
      <c r="BT39" s="127">
        <v>34</v>
      </c>
      <c r="BU39" s="141">
        <f t="shared" ca="1" si="16"/>
        <v>0</v>
      </c>
      <c r="BV39" s="142">
        <f t="shared" ca="1" si="17"/>
        <v>0</v>
      </c>
      <c r="BW39" s="120" t="str">
        <f t="shared" ca="1" si="18"/>
        <v/>
      </c>
    </row>
    <row r="40" spans="1:75" ht="17.25" customHeight="1">
      <c r="A40" s="237">
        <v>35</v>
      </c>
      <c r="B40" s="250">
        <f>'A-RACHNATMAK'!B297</f>
        <v>0</v>
      </c>
      <c r="C40" s="251">
        <f>STUDENTS!D412</f>
        <v>0</v>
      </c>
      <c r="D40" s="252">
        <f>STUDENTS!D414</f>
        <v>0</v>
      </c>
      <c r="E40" s="253">
        <f>'A-RACHNATMAK'!Z45</f>
        <v>0</v>
      </c>
      <c r="F40" s="254"/>
      <c r="G40" s="254"/>
      <c r="H40" s="255">
        <f>'A-RACHNATMAK'!BA45</f>
        <v>0</v>
      </c>
      <c r="I40" s="254"/>
      <c r="J40" s="254"/>
      <c r="K40" s="121">
        <f t="shared" si="0"/>
        <v>0</v>
      </c>
      <c r="L40" s="122" t="str">
        <f t="shared" si="1"/>
        <v/>
      </c>
      <c r="M40" s="253">
        <f>'A-RACHNATMAK'!Z87</f>
        <v>0</v>
      </c>
      <c r="N40" s="254"/>
      <c r="O40" s="254"/>
      <c r="P40" s="255">
        <f>'A-RACHNATMAK'!BA87</f>
        <v>0</v>
      </c>
      <c r="Q40" s="254"/>
      <c r="R40" s="254"/>
      <c r="S40" s="121">
        <f t="shared" si="2"/>
        <v>0</v>
      </c>
      <c r="T40" s="122" t="str">
        <f t="shared" si="3"/>
        <v/>
      </c>
      <c r="U40" s="71"/>
      <c r="V40" s="253">
        <f>'A-RACHNATMAK'!Z129</f>
        <v>0</v>
      </c>
      <c r="W40" s="254"/>
      <c r="X40" s="254"/>
      <c r="Y40" s="255">
        <f>'A-RACHNATMAK'!BA129</f>
        <v>0</v>
      </c>
      <c r="Z40" s="254"/>
      <c r="AA40" s="254"/>
      <c r="AB40" s="121">
        <f t="shared" si="4"/>
        <v>0</v>
      </c>
      <c r="AC40" s="122" t="str">
        <f t="shared" si="5"/>
        <v/>
      </c>
      <c r="AD40" s="253">
        <f>'A-RACHNATMAK'!Z213</f>
        <v>0</v>
      </c>
      <c r="AE40" s="254"/>
      <c r="AF40" s="254"/>
      <c r="AG40" s="255">
        <f>'A-RACHNATMAK'!BA213</f>
        <v>0</v>
      </c>
      <c r="AH40" s="254"/>
      <c r="AI40" s="254"/>
      <c r="AJ40" s="121">
        <f t="shared" si="6"/>
        <v>0</v>
      </c>
      <c r="AK40" s="122" t="str">
        <f t="shared" si="7"/>
        <v/>
      </c>
      <c r="AL40" s="131"/>
      <c r="AM40" s="253">
        <f>'A-RACHNATMAK'!Z171</f>
        <v>0</v>
      </c>
      <c r="AN40" s="254"/>
      <c r="AO40" s="254"/>
      <c r="AP40" s="255">
        <f>'A-RACHNATMAK'!BA171</f>
        <v>0</v>
      </c>
      <c r="AQ40" s="254"/>
      <c r="AR40" s="254"/>
      <c r="AS40" s="121">
        <f t="shared" si="8"/>
        <v>0</v>
      </c>
      <c r="AT40" s="122" t="str">
        <f t="shared" si="9"/>
        <v/>
      </c>
      <c r="AU40" s="253">
        <f>'A-RACHNATMAK'!Z255</f>
        <v>0</v>
      </c>
      <c r="AV40" s="254"/>
      <c r="AW40" s="254"/>
      <c r="AX40" s="255">
        <f>'A-RACHNATMAK'!BA255</f>
        <v>0</v>
      </c>
      <c r="AY40" s="254"/>
      <c r="AZ40" s="254"/>
      <c r="BA40" s="121">
        <f t="shared" si="10"/>
        <v>0</v>
      </c>
      <c r="BB40" s="122" t="str">
        <f t="shared" si="11"/>
        <v/>
      </c>
      <c r="BC40" s="253">
        <f>'A-RACHNATMAK'!Z297</f>
        <v>0</v>
      </c>
      <c r="BD40" s="254"/>
      <c r="BE40" s="254"/>
      <c r="BF40" s="255">
        <f>'A-RACHNATMAK'!BA297</f>
        <v>0</v>
      </c>
      <c r="BG40" s="254"/>
      <c r="BH40" s="254"/>
      <c r="BI40" s="121">
        <f t="shared" si="12"/>
        <v>0</v>
      </c>
      <c r="BJ40" s="122" t="str">
        <f t="shared" si="13"/>
        <v/>
      </c>
      <c r="BK40" s="204">
        <f t="shared" ca="1" si="19"/>
        <v>0</v>
      </c>
      <c r="BL40" s="122" t="str">
        <f t="shared" ca="1" si="15"/>
        <v/>
      </c>
      <c r="BM40" s="127">
        <v>68</v>
      </c>
      <c r="BN40" s="127">
        <v>68</v>
      </c>
      <c r="BO40" s="127">
        <v>68</v>
      </c>
      <c r="BP40" s="127">
        <v>68</v>
      </c>
      <c r="BQ40" s="127">
        <v>76.666666666666671</v>
      </c>
      <c r="BR40" s="127">
        <v>68</v>
      </c>
      <c r="BS40" s="127">
        <v>77.142857142857139</v>
      </c>
      <c r="BT40" s="127">
        <v>34</v>
      </c>
      <c r="BU40" s="143">
        <f t="shared" ca="1" si="16"/>
        <v>0</v>
      </c>
      <c r="BV40" s="144">
        <f t="shared" ca="1" si="17"/>
        <v>0</v>
      </c>
      <c r="BW40" s="122" t="str">
        <f t="shared" ca="1" si="18"/>
        <v/>
      </c>
    </row>
  </sheetData>
  <sheetProtection password="CCF1" sheet="1" objects="1" scenarios="1"/>
  <mergeCells count="51">
    <mergeCell ref="AU3:AW3"/>
    <mergeCell ref="AX3:AZ3"/>
    <mergeCell ref="AJ3:AJ4"/>
    <mergeCell ref="AK3:AK4"/>
    <mergeCell ref="AM3:AO3"/>
    <mergeCell ref="AP3:AR3"/>
    <mergeCell ref="AS3:AS4"/>
    <mergeCell ref="AT3:AT4"/>
    <mergeCell ref="AG3:AI3"/>
    <mergeCell ref="K3:K4"/>
    <mergeCell ref="L3:L4"/>
    <mergeCell ref="M3:O3"/>
    <mergeCell ref="P3:R3"/>
    <mergeCell ref="S3:S4"/>
    <mergeCell ref="T3:T4"/>
    <mergeCell ref="V3:X3"/>
    <mergeCell ref="Y3:AA3"/>
    <mergeCell ref="AB3:AB4"/>
    <mergeCell ref="AC3:AC4"/>
    <mergeCell ref="AD3:AF3"/>
    <mergeCell ref="BS2:BS4"/>
    <mergeCell ref="BT2:BT4"/>
    <mergeCell ref="BU2:BU4"/>
    <mergeCell ref="BV2:BV4"/>
    <mergeCell ref="BW2:BW4"/>
    <mergeCell ref="A3:A4"/>
    <mergeCell ref="B3:B4"/>
    <mergeCell ref="C3:C4"/>
    <mergeCell ref="E3:G3"/>
    <mergeCell ref="H3:J3"/>
    <mergeCell ref="BR2:BR4"/>
    <mergeCell ref="BC2:BJ2"/>
    <mergeCell ref="BK2:BK4"/>
    <mergeCell ref="BL2:BL4"/>
    <mergeCell ref="BA3:BA4"/>
    <mergeCell ref="BB3:BB4"/>
    <mergeCell ref="BC3:BE3"/>
    <mergeCell ref="BF3:BH3"/>
    <mergeCell ref="BI3:BI4"/>
    <mergeCell ref="BJ3:BJ4"/>
    <mergeCell ref="AU2:BB2"/>
    <mergeCell ref="BM2:BM4"/>
    <mergeCell ref="BN2:BN4"/>
    <mergeCell ref="BO2:BO4"/>
    <mergeCell ref="BP2:BP4"/>
    <mergeCell ref="BQ2:BQ4"/>
    <mergeCell ref="E2:L2"/>
    <mergeCell ref="M2:T2"/>
    <mergeCell ref="V2:AC2"/>
    <mergeCell ref="AD2:AK2"/>
    <mergeCell ref="AM2:AT2"/>
  </mergeCells>
  <conditionalFormatting sqref="BC7:BD40 L6:L40 BF7:BG40 T6:U40 AC6:AC40 AK6:AL40 AT6:AT40 BB6:BB40 BI6:BJ40 BL6:BL40 BW5:BW40">
    <cfRule type="cellIs" dxfId="3" priority="4" stopIfTrue="1" operator="between">
      <formula>"E"</formula>
      <formula>"E"</formula>
    </cfRule>
  </conditionalFormatting>
  <conditionalFormatting sqref="B6:B40">
    <cfRule type="cellIs" dxfId="2" priority="3" stopIfTrue="1" operator="equal">
      <formula>0</formula>
    </cfRule>
  </conditionalFormatting>
  <conditionalFormatting sqref="C6:C40">
    <cfRule type="cellIs" dxfId="1" priority="2" stopIfTrue="1" operator="equal">
      <formula>0</formula>
    </cfRule>
  </conditionalFormatting>
  <conditionalFormatting sqref="D6:D40">
    <cfRule type="cellIs" dxfId="0" priority="1" stopIfTrue="1" operator="equal">
      <formula>"00/01/1900"</formula>
    </cfRule>
  </conditionalFormatting>
  <dataValidations count="2">
    <dataValidation type="whole" allowBlank="1" showErrorMessage="1" errorTitle="સૂચના" error="0 થી 40 સુધીની સંખ્યા ઉમેરો." promptTitle="ઇનપુટ" prompt="0 થી 40 સુધીની સંખ્યા ઉમેરો." sqref="BC6:BD40 E6:F40 H6:I40 M6:N40 P6:Q40 V6:W40 Y6:Z40 AD6:AE40 AG6:AH40 AM6:AN40 AP6:AQ40 AU6:AV40 AX6:AY40 BF6:BG40">
      <formula1>0</formula1>
      <formula2>40</formula2>
    </dataValidation>
    <dataValidation type="whole" allowBlank="1" showInputMessage="1" showErrorMessage="1" errorTitle="સૂચના" error="0 થી 20સુધીની સંખ્યા ઉમેરો..." sqref="G6:G40 J6:J40 O6:O40 R6:R40 X6:X40 AA6:AA40 AF6:AF40 AI6:AI40 AO6:AO40 AR6:AR40 AW6:AW40 AZ6:AZ40 BE6:BE40 BH6:BH40">
      <formula1>0</formula1>
      <formula2>20</formula2>
    </dataValidation>
  </dataValidations>
  <pageMargins left="0.7" right="0.25" top="0.75" bottom="0.75" header="0.3" footer="0.3"/>
  <pageSetup paperSize="5" scale="96" orientation="portrait" horizontalDpi="300" verticalDpi="300" r:id="rId1"/>
  <colBreaks count="3" manualBreakCount="3">
    <brk id="12" max="1048575" man="1"/>
    <brk id="29" max="1048575" man="1"/>
    <brk id="46" max="48" man="1"/>
  </colBreaks>
  <legacyDrawing r:id="rId2"/>
</worksheet>
</file>

<file path=xl/worksheets/sheet8.xml><?xml version="1.0" encoding="utf-8"?>
<worksheet xmlns="http://schemas.openxmlformats.org/spreadsheetml/2006/main" xmlns:r="http://schemas.openxmlformats.org/officeDocument/2006/relationships">
  <sheetPr>
    <tabColor rgb="FF7030A0"/>
  </sheetPr>
  <dimension ref="A1:AV184"/>
  <sheetViews>
    <sheetView showZeros="0" topLeftCell="A19" zoomScaleSheetLayoutView="100" workbookViewId="0">
      <selection activeCell="R1" sqref="R1:S1"/>
    </sheetView>
  </sheetViews>
  <sheetFormatPr defaultRowHeight="15"/>
  <cols>
    <col min="1" max="2" width="1.7109375" style="207" customWidth="1"/>
    <col min="3" max="22" width="4" style="207" customWidth="1"/>
    <col min="23" max="23" width="1.85546875" style="207" customWidth="1"/>
    <col min="24" max="26" width="1.7109375" style="207" customWidth="1"/>
    <col min="27" max="46" width="4" style="207" customWidth="1"/>
    <col min="47" max="47" width="1.85546875" style="207" customWidth="1"/>
    <col min="48" max="48" width="1.7109375" style="207" customWidth="1"/>
    <col min="49" max="16384" width="9.140625" style="207"/>
  </cols>
  <sheetData>
    <row r="1" spans="1:48" ht="22.5" customHeight="1">
      <c r="I1" s="478" t="s">
        <v>230</v>
      </c>
      <c r="J1" s="478"/>
      <c r="K1" s="478"/>
      <c r="L1" s="478"/>
      <c r="M1" s="478"/>
      <c r="N1" s="478"/>
      <c r="O1" s="478"/>
      <c r="P1" s="478"/>
      <c r="Q1" s="478"/>
      <c r="R1" s="477">
        <v>3</v>
      </c>
      <c r="S1" s="477"/>
      <c r="AA1" s="611" t="s">
        <v>308</v>
      </c>
      <c r="AB1" s="611"/>
      <c r="AC1" s="611"/>
      <c r="AD1" s="611"/>
      <c r="AE1" s="611"/>
      <c r="AF1" s="611"/>
      <c r="AG1" s="611"/>
      <c r="AH1" s="611"/>
      <c r="AI1" s="611"/>
      <c r="AJ1" s="611"/>
      <c r="AK1" s="611"/>
      <c r="AL1" s="611"/>
      <c r="AM1" s="611"/>
      <c r="AN1" s="611"/>
      <c r="AO1" s="611"/>
      <c r="AP1" s="611"/>
      <c r="AQ1" s="611"/>
      <c r="AR1" s="611"/>
      <c r="AS1" s="611"/>
      <c r="AT1" s="611"/>
    </row>
    <row r="3" spans="1:48" ht="21.75" customHeight="1" thickBot="1">
      <c r="A3" s="85"/>
      <c r="B3" s="86"/>
      <c r="C3" s="86"/>
      <c r="D3" s="86"/>
      <c r="E3" s="86"/>
      <c r="F3" s="86"/>
      <c r="G3" s="87" t="s">
        <v>204</v>
      </c>
      <c r="H3" s="87"/>
      <c r="I3" s="87"/>
      <c r="J3" s="87"/>
      <c r="K3" s="87"/>
      <c r="L3" s="87"/>
      <c r="M3" s="87"/>
      <c r="N3" s="87"/>
      <c r="O3" s="87"/>
      <c r="P3" s="87"/>
      <c r="Q3" s="87"/>
      <c r="R3" s="87"/>
      <c r="S3" s="87"/>
      <c r="T3" s="87"/>
      <c r="U3" s="87"/>
      <c r="V3" s="87"/>
      <c r="W3" s="87"/>
      <c r="X3" s="88"/>
      <c r="Y3" s="208"/>
      <c r="Z3" s="209"/>
      <c r="AA3" s="209"/>
      <c r="AB3" s="209"/>
      <c r="AC3" s="209"/>
      <c r="AD3" s="209"/>
      <c r="AE3" s="209"/>
      <c r="AF3" s="209"/>
      <c r="AG3" s="209"/>
      <c r="AH3" s="209"/>
      <c r="AI3" s="209"/>
      <c r="AJ3" s="209"/>
      <c r="AK3" s="209"/>
      <c r="AL3" s="209"/>
      <c r="AM3" s="209"/>
      <c r="AN3" s="209"/>
      <c r="AO3" s="209"/>
      <c r="AP3" s="209"/>
      <c r="AQ3" s="209"/>
      <c r="AR3" s="209"/>
      <c r="AS3" s="209"/>
      <c r="AT3" s="209"/>
      <c r="AU3" s="209"/>
      <c r="AV3" s="210"/>
    </row>
    <row r="4" spans="1:48" ht="16.5" customHeight="1">
      <c r="A4" s="89"/>
      <c r="B4" s="98"/>
      <c r="C4" s="501"/>
      <c r="D4" s="501"/>
      <c r="E4" s="501"/>
      <c r="F4" s="501"/>
      <c r="G4" s="501"/>
      <c r="H4" s="501"/>
      <c r="I4" s="501"/>
      <c r="J4" s="501"/>
      <c r="K4" s="501"/>
      <c r="L4" s="501"/>
      <c r="M4" s="501"/>
      <c r="N4" s="501"/>
      <c r="O4" s="501"/>
      <c r="P4" s="501"/>
      <c r="Q4" s="501"/>
      <c r="R4" s="501"/>
      <c r="S4" s="501"/>
      <c r="T4" s="501"/>
      <c r="U4" s="501"/>
      <c r="V4" s="501"/>
      <c r="W4" s="99"/>
      <c r="X4" s="90"/>
      <c r="Y4" s="211"/>
      <c r="Z4" s="212"/>
      <c r="AA4" s="213"/>
      <c r="AB4" s="213"/>
      <c r="AC4" s="213"/>
      <c r="AD4" s="213"/>
      <c r="AE4" s="213"/>
      <c r="AF4" s="213"/>
      <c r="AG4" s="213"/>
      <c r="AH4" s="213"/>
      <c r="AI4" s="213"/>
      <c r="AJ4" s="213"/>
      <c r="AK4" s="213"/>
      <c r="AL4" s="213"/>
      <c r="AM4" s="213"/>
      <c r="AN4" s="213"/>
      <c r="AO4" s="213"/>
      <c r="AP4" s="213"/>
      <c r="AQ4" s="213"/>
      <c r="AR4" s="213"/>
      <c r="AS4" s="213"/>
      <c r="AT4" s="213"/>
      <c r="AU4" s="214"/>
      <c r="AV4" s="215"/>
    </row>
    <row r="5" spans="1:48" ht="18" customHeight="1">
      <c r="A5" s="91"/>
      <c r="B5" s="100"/>
      <c r="C5" s="554" t="s">
        <v>226</v>
      </c>
      <c r="D5" s="554"/>
      <c r="E5" s="554"/>
      <c r="F5" s="554"/>
      <c r="G5" s="554"/>
      <c r="H5" s="554"/>
      <c r="I5" s="554"/>
      <c r="J5" s="554"/>
      <c r="K5" s="554"/>
      <c r="L5" s="554"/>
      <c r="M5" s="554"/>
      <c r="N5" s="554"/>
      <c r="O5" s="554"/>
      <c r="P5" s="554"/>
      <c r="Q5" s="554"/>
      <c r="R5" s="554"/>
      <c r="S5" s="554"/>
      <c r="T5" s="554"/>
      <c r="U5" s="554"/>
      <c r="V5" s="554"/>
      <c r="W5" s="101"/>
      <c r="X5" s="90"/>
      <c r="Y5" s="211"/>
      <c r="Z5" s="216"/>
      <c r="AA5" s="502" t="s">
        <v>8</v>
      </c>
      <c r="AB5" s="502"/>
      <c r="AC5" s="502"/>
      <c r="AD5" s="502"/>
      <c r="AE5" s="502"/>
      <c r="AF5" s="502"/>
      <c r="AG5" s="502"/>
      <c r="AH5" s="502"/>
      <c r="AI5" s="502"/>
      <c r="AJ5" s="502"/>
      <c r="AK5" s="502"/>
      <c r="AL5" s="502"/>
      <c r="AM5" s="502"/>
      <c r="AN5" s="502"/>
      <c r="AO5" s="502"/>
      <c r="AP5" s="502"/>
      <c r="AQ5" s="502"/>
      <c r="AR5" s="502"/>
      <c r="AS5" s="502"/>
      <c r="AT5" s="502"/>
      <c r="AU5" s="217"/>
      <c r="AV5" s="215"/>
    </row>
    <row r="6" spans="1:48" ht="16.5" customHeight="1">
      <c r="A6" s="91"/>
      <c r="B6" s="100"/>
      <c r="C6" s="554"/>
      <c r="D6" s="554"/>
      <c r="E6" s="554"/>
      <c r="F6" s="554"/>
      <c r="G6" s="554"/>
      <c r="H6" s="554"/>
      <c r="I6" s="554"/>
      <c r="J6" s="554"/>
      <c r="K6" s="554"/>
      <c r="L6" s="554"/>
      <c r="M6" s="554"/>
      <c r="N6" s="554"/>
      <c r="O6" s="554"/>
      <c r="P6" s="554"/>
      <c r="Q6" s="554"/>
      <c r="R6" s="554"/>
      <c r="S6" s="554"/>
      <c r="T6" s="554"/>
      <c r="U6" s="554"/>
      <c r="V6" s="554"/>
      <c r="W6" s="102"/>
      <c r="X6" s="90"/>
      <c r="Y6" s="211"/>
      <c r="Z6" s="216"/>
      <c r="AA6" s="218">
        <v>1</v>
      </c>
      <c r="AB6" s="500" t="str">
        <f>STUDENTS!B2</f>
        <v>નામ</v>
      </c>
      <c r="AC6" s="500"/>
      <c r="AD6" s="500"/>
      <c r="AE6" s="500"/>
      <c r="AF6" s="500"/>
      <c r="AG6" s="500"/>
      <c r="AH6" s="500"/>
      <c r="AI6" s="498" t="str">
        <f ca="1">I32</f>
        <v>ગરણિયા મયુરકુમાર અશોકભાઇ</v>
      </c>
      <c r="AJ6" s="498"/>
      <c r="AK6" s="498"/>
      <c r="AL6" s="498"/>
      <c r="AM6" s="498"/>
      <c r="AN6" s="498"/>
      <c r="AO6" s="498"/>
      <c r="AP6" s="498"/>
      <c r="AQ6" s="498"/>
      <c r="AR6" s="498"/>
      <c r="AS6" s="498"/>
      <c r="AT6" s="499"/>
      <c r="AU6" s="217"/>
      <c r="AV6" s="215"/>
    </row>
    <row r="7" spans="1:48" ht="16.5" customHeight="1">
      <c r="A7" s="91"/>
      <c r="B7" s="100"/>
      <c r="C7" s="553" t="s">
        <v>225</v>
      </c>
      <c r="D7" s="553"/>
      <c r="E7" s="553"/>
      <c r="F7" s="553"/>
      <c r="G7" s="553"/>
      <c r="H7" s="553"/>
      <c r="I7" s="553"/>
      <c r="J7" s="553"/>
      <c r="K7" s="553"/>
      <c r="L7" s="553"/>
      <c r="M7" s="553"/>
      <c r="N7" s="553"/>
      <c r="O7" s="553"/>
      <c r="P7" s="553"/>
      <c r="Q7" s="553"/>
      <c r="R7" s="553"/>
      <c r="S7" s="553"/>
      <c r="T7" s="553"/>
      <c r="U7" s="553"/>
      <c r="V7" s="553"/>
      <c r="W7" s="102"/>
      <c r="X7" s="90"/>
      <c r="Y7" s="211"/>
      <c r="Z7" s="216"/>
      <c r="AA7" s="219">
        <v>2</v>
      </c>
      <c r="AB7" s="463" t="str">
        <f>STUDENTS!C5</f>
        <v>જાતિ</v>
      </c>
      <c r="AC7" s="463"/>
      <c r="AD7" s="463"/>
      <c r="AE7" s="463"/>
      <c r="AF7" s="463"/>
      <c r="AG7" s="463"/>
      <c r="AH7" s="463"/>
      <c r="AI7" s="461">
        <f ca="1">INDIRECT("STUDENTS!D"&amp;($R$1-1)*12+5)</f>
        <v>0</v>
      </c>
      <c r="AJ7" s="461"/>
      <c r="AK7" s="461"/>
      <c r="AL7" s="461"/>
      <c r="AM7" s="461"/>
      <c r="AN7" s="461"/>
      <c r="AO7" s="461"/>
      <c r="AP7" s="461"/>
      <c r="AQ7" s="461"/>
      <c r="AR7" s="461"/>
      <c r="AS7" s="461"/>
      <c r="AT7" s="462"/>
      <c r="AU7" s="217"/>
      <c r="AV7" s="215"/>
    </row>
    <row r="8" spans="1:48" ht="16.5" customHeight="1">
      <c r="A8" s="91"/>
      <c r="B8" s="100"/>
      <c r="C8" s="553"/>
      <c r="D8" s="553"/>
      <c r="E8" s="553"/>
      <c r="F8" s="553"/>
      <c r="G8" s="553"/>
      <c r="H8" s="553"/>
      <c r="I8" s="553"/>
      <c r="J8" s="553"/>
      <c r="K8" s="553"/>
      <c r="L8" s="553"/>
      <c r="M8" s="553"/>
      <c r="N8" s="553"/>
      <c r="O8" s="553"/>
      <c r="P8" s="553"/>
      <c r="Q8" s="553"/>
      <c r="R8" s="553"/>
      <c r="S8" s="553"/>
      <c r="T8" s="553"/>
      <c r="U8" s="553"/>
      <c r="V8" s="553"/>
      <c r="W8" s="102"/>
      <c r="X8" s="90"/>
      <c r="Y8" s="211"/>
      <c r="Z8" s="216"/>
      <c r="AA8" s="219">
        <v>3</v>
      </c>
      <c r="AB8" s="463" t="str">
        <f>STUDENTS!C6</f>
        <v>જન્મતારીખ</v>
      </c>
      <c r="AC8" s="463"/>
      <c r="AD8" s="463"/>
      <c r="AE8" s="463"/>
      <c r="AF8" s="463"/>
      <c r="AG8" s="463"/>
      <c r="AH8" s="463"/>
      <c r="AI8" s="460">
        <f ca="1">I34</f>
        <v>0</v>
      </c>
      <c r="AJ8" s="461"/>
      <c r="AK8" s="461"/>
      <c r="AL8" s="461"/>
      <c r="AM8" s="461"/>
      <c r="AN8" s="461"/>
      <c r="AO8" s="461"/>
      <c r="AP8" s="461"/>
      <c r="AQ8" s="461"/>
      <c r="AR8" s="461"/>
      <c r="AS8" s="461"/>
      <c r="AT8" s="462"/>
      <c r="AU8" s="217"/>
      <c r="AV8" s="215"/>
    </row>
    <row r="9" spans="1:48" ht="16.5" customHeight="1">
      <c r="A9" s="91"/>
      <c r="B9" s="100"/>
      <c r="C9" s="570" t="str">
        <f>SCHOOL!B7</f>
        <v>નગર પ્રાથમિક શિક્ષણ સમિતિ, રાજકોટ.</v>
      </c>
      <c r="D9" s="570"/>
      <c r="E9" s="570"/>
      <c r="F9" s="570"/>
      <c r="G9" s="570"/>
      <c r="H9" s="570"/>
      <c r="I9" s="570"/>
      <c r="J9" s="570"/>
      <c r="K9" s="570"/>
      <c r="L9" s="570"/>
      <c r="M9" s="570"/>
      <c r="N9" s="570"/>
      <c r="O9" s="570"/>
      <c r="P9" s="570"/>
      <c r="Q9" s="570"/>
      <c r="R9" s="570"/>
      <c r="S9" s="570"/>
      <c r="T9" s="570"/>
      <c r="U9" s="570"/>
      <c r="V9" s="570"/>
      <c r="W9" s="102"/>
      <c r="X9" s="90"/>
      <c r="Y9" s="211"/>
      <c r="Z9" s="216"/>
      <c r="AA9" s="219">
        <v>4</v>
      </c>
      <c r="AB9" s="463" t="str">
        <f>STUDENTS!C7</f>
        <v>જ.તા. શબ્દમાં</v>
      </c>
      <c r="AC9" s="463"/>
      <c r="AD9" s="463"/>
      <c r="AE9" s="463"/>
      <c r="AF9" s="463"/>
      <c r="AG9" s="463"/>
      <c r="AH9" s="463"/>
      <c r="AI9" s="461">
        <f ca="1">INDIRECT("STUDENTS!D"&amp;($R$1-1)*12+7)</f>
        <v>0</v>
      </c>
      <c r="AJ9" s="461"/>
      <c r="AK9" s="461"/>
      <c r="AL9" s="461"/>
      <c r="AM9" s="461"/>
      <c r="AN9" s="461"/>
      <c r="AO9" s="461"/>
      <c r="AP9" s="461"/>
      <c r="AQ9" s="461"/>
      <c r="AR9" s="461"/>
      <c r="AS9" s="461"/>
      <c r="AT9" s="462"/>
      <c r="AU9" s="217"/>
      <c r="AV9" s="215"/>
    </row>
    <row r="10" spans="1:48" ht="16.5" customHeight="1">
      <c r="A10" s="91"/>
      <c r="B10" s="100"/>
      <c r="C10" s="570"/>
      <c r="D10" s="570"/>
      <c r="E10" s="570"/>
      <c r="F10" s="570"/>
      <c r="G10" s="570"/>
      <c r="H10" s="570"/>
      <c r="I10" s="570"/>
      <c r="J10" s="570"/>
      <c r="K10" s="570"/>
      <c r="L10" s="570"/>
      <c r="M10" s="570"/>
      <c r="N10" s="570"/>
      <c r="O10" s="570"/>
      <c r="P10" s="570"/>
      <c r="Q10" s="570"/>
      <c r="R10" s="570"/>
      <c r="S10" s="570"/>
      <c r="T10" s="570"/>
      <c r="U10" s="570"/>
      <c r="V10" s="570"/>
      <c r="W10" s="102"/>
      <c r="X10" s="90"/>
      <c r="Y10" s="211"/>
      <c r="Z10" s="216"/>
      <c r="AA10" s="219">
        <v>5</v>
      </c>
      <c r="AB10" s="463" t="str">
        <f>STUDENTS!C9</f>
        <v>જન્મસ્થળ</v>
      </c>
      <c r="AC10" s="463"/>
      <c r="AD10" s="463"/>
      <c r="AE10" s="463"/>
      <c r="AF10" s="463"/>
      <c r="AG10" s="463"/>
      <c r="AH10" s="463"/>
      <c r="AI10" s="461">
        <f ca="1">INDIRECT("STUDENTS!D"&amp;($R$1-1)*12+9)</f>
        <v>0</v>
      </c>
      <c r="AJ10" s="461"/>
      <c r="AK10" s="461"/>
      <c r="AL10" s="461"/>
      <c r="AM10" s="461"/>
      <c r="AN10" s="461"/>
      <c r="AO10" s="461"/>
      <c r="AP10" s="461"/>
      <c r="AQ10" s="461"/>
      <c r="AR10" s="461"/>
      <c r="AS10" s="461"/>
      <c r="AT10" s="462"/>
      <c r="AU10" s="217"/>
      <c r="AV10" s="215"/>
    </row>
    <row r="11" spans="1:48" ht="16.5" customHeight="1">
      <c r="A11" s="91"/>
      <c r="B11" s="100"/>
      <c r="C11" s="77"/>
      <c r="D11" s="77"/>
      <c r="E11" s="77"/>
      <c r="F11" s="77"/>
      <c r="G11" s="77"/>
      <c r="H11" s="77"/>
      <c r="I11" s="77"/>
      <c r="J11" s="77"/>
      <c r="K11" s="77"/>
      <c r="L11" s="77"/>
      <c r="M11" s="77"/>
      <c r="N11" s="77"/>
      <c r="O11" s="77"/>
      <c r="P11" s="77"/>
      <c r="Q11" s="77"/>
      <c r="R11" s="77"/>
      <c r="S11" s="77"/>
      <c r="T11" s="77"/>
      <c r="U11" s="77"/>
      <c r="V11" s="77"/>
      <c r="W11" s="102"/>
      <c r="X11" s="90"/>
      <c r="Y11" s="211"/>
      <c r="Z11" s="216"/>
      <c r="AA11" s="219">
        <v>6</v>
      </c>
      <c r="AB11" s="463" t="str">
        <f>STUDENTS!C10</f>
        <v>ધર્મ, જ્ઞાતિ, પેટાજ્ઞાતિ</v>
      </c>
      <c r="AC11" s="463"/>
      <c r="AD11" s="463"/>
      <c r="AE11" s="463"/>
      <c r="AF11" s="463"/>
      <c r="AG11" s="463"/>
      <c r="AH11" s="463"/>
      <c r="AI11" s="461">
        <f ca="1">INDIRECT("STUDENTS!D"&amp;($R$1-1)*12+10)</f>
        <v>0</v>
      </c>
      <c r="AJ11" s="461"/>
      <c r="AK11" s="461"/>
      <c r="AL11" s="461"/>
      <c r="AM11" s="461"/>
      <c r="AN11" s="461"/>
      <c r="AO11" s="461"/>
      <c r="AP11" s="461"/>
      <c r="AQ11" s="461"/>
      <c r="AR11" s="461"/>
      <c r="AS11" s="461"/>
      <c r="AT11" s="462"/>
      <c r="AU11" s="217"/>
      <c r="AV11" s="215"/>
    </row>
    <row r="12" spans="1:48" ht="16.5" customHeight="1">
      <c r="A12" s="91"/>
      <c r="B12" s="100"/>
      <c r="C12" s="77"/>
      <c r="D12" s="77"/>
      <c r="E12" s="77"/>
      <c r="F12" s="77"/>
      <c r="G12" s="77"/>
      <c r="H12" s="77"/>
      <c r="I12" s="77"/>
      <c r="J12" s="77"/>
      <c r="K12" s="77"/>
      <c r="L12" s="77"/>
      <c r="M12" s="77"/>
      <c r="N12" s="77"/>
      <c r="O12" s="77"/>
      <c r="P12" s="77"/>
      <c r="Q12" s="77"/>
      <c r="R12" s="77"/>
      <c r="S12" s="77"/>
      <c r="T12" s="77"/>
      <c r="U12" s="77"/>
      <c r="V12" s="77"/>
      <c r="W12" s="102"/>
      <c r="X12" s="90"/>
      <c r="Y12" s="211"/>
      <c r="Z12" s="216"/>
      <c r="AA12" s="219">
        <v>7</v>
      </c>
      <c r="AB12" s="463" t="str">
        <f>STUDENTS!C11</f>
        <v>ઓળખની નિશાની</v>
      </c>
      <c r="AC12" s="463"/>
      <c r="AD12" s="463"/>
      <c r="AE12" s="463"/>
      <c r="AF12" s="463"/>
      <c r="AG12" s="463"/>
      <c r="AH12" s="463"/>
      <c r="AI12" s="461">
        <f ca="1">INDIRECT("STUDENTS!D"&amp;($R$1-1)*12+11)</f>
        <v>0</v>
      </c>
      <c r="AJ12" s="461"/>
      <c r="AK12" s="461"/>
      <c r="AL12" s="461"/>
      <c r="AM12" s="461"/>
      <c r="AN12" s="461"/>
      <c r="AO12" s="461"/>
      <c r="AP12" s="461"/>
      <c r="AQ12" s="461"/>
      <c r="AR12" s="461"/>
      <c r="AS12" s="461"/>
      <c r="AT12" s="462"/>
      <c r="AU12" s="217"/>
      <c r="AV12" s="215"/>
    </row>
    <row r="13" spans="1:48" ht="16.5" customHeight="1">
      <c r="A13" s="91"/>
      <c r="B13" s="100"/>
      <c r="C13" s="77"/>
      <c r="D13" s="77"/>
      <c r="E13" s="77"/>
      <c r="F13" s="77"/>
      <c r="G13" s="77"/>
      <c r="H13" s="77"/>
      <c r="I13" s="77"/>
      <c r="J13" s="77"/>
      <c r="K13" s="77"/>
      <c r="L13" s="77"/>
      <c r="M13" s="77"/>
      <c r="N13" s="77"/>
      <c r="O13" s="77"/>
      <c r="P13" s="77"/>
      <c r="Q13" s="77"/>
      <c r="R13" s="77"/>
      <c r="S13" s="77"/>
      <c r="T13" s="77"/>
      <c r="U13" s="77"/>
      <c r="V13" s="77"/>
      <c r="W13" s="102"/>
      <c r="X13" s="90"/>
      <c r="Y13" s="211"/>
      <c r="Z13" s="216"/>
      <c r="AA13" s="219">
        <v>8</v>
      </c>
      <c r="AB13" s="463" t="str">
        <f>STUDENTS!C12</f>
        <v>વતનનું સરનામું</v>
      </c>
      <c r="AC13" s="463"/>
      <c r="AD13" s="463"/>
      <c r="AE13" s="463"/>
      <c r="AF13" s="463"/>
      <c r="AG13" s="463"/>
      <c r="AH13" s="463"/>
      <c r="AI13" s="461">
        <f ca="1">INDIRECT("STUDENTS!D"&amp;($R$1-1)*12+12)</f>
        <v>0</v>
      </c>
      <c r="AJ13" s="461"/>
      <c r="AK13" s="461"/>
      <c r="AL13" s="461"/>
      <c r="AM13" s="461"/>
      <c r="AN13" s="461"/>
      <c r="AO13" s="461"/>
      <c r="AP13" s="461"/>
      <c r="AQ13" s="461"/>
      <c r="AR13" s="461"/>
      <c r="AS13" s="461"/>
      <c r="AT13" s="462"/>
      <c r="AU13" s="217"/>
      <c r="AV13" s="215"/>
    </row>
    <row r="14" spans="1:48" ht="16.5" customHeight="1">
      <c r="A14" s="91"/>
      <c r="B14" s="100"/>
      <c r="C14" s="77"/>
      <c r="D14" s="77"/>
      <c r="E14" s="77"/>
      <c r="F14" s="77"/>
      <c r="G14" s="77"/>
      <c r="H14" s="77"/>
      <c r="I14" s="77"/>
      <c r="J14" s="77"/>
      <c r="K14" s="77"/>
      <c r="L14" s="77"/>
      <c r="M14" s="77"/>
      <c r="N14" s="77"/>
      <c r="O14" s="77"/>
      <c r="P14" s="77"/>
      <c r="Q14" s="77"/>
      <c r="R14" s="77"/>
      <c r="S14" s="77"/>
      <c r="T14" s="77"/>
      <c r="U14" s="77"/>
      <c r="V14" s="77"/>
      <c r="W14" s="102"/>
      <c r="X14" s="90"/>
      <c r="Y14" s="211"/>
      <c r="Z14" s="216"/>
      <c r="AA14" s="219">
        <v>9</v>
      </c>
      <c r="AB14" s="463" t="str">
        <f>STUDENTS!C13</f>
        <v>હાલનું સરનામું</v>
      </c>
      <c r="AC14" s="463"/>
      <c r="AD14" s="463"/>
      <c r="AE14" s="463"/>
      <c r="AF14" s="463"/>
      <c r="AG14" s="463"/>
      <c r="AH14" s="463"/>
      <c r="AI14" s="461">
        <f ca="1">INDIRECT("STUDENTS!D"&amp;($R$1-1)*12+13)</f>
        <v>0</v>
      </c>
      <c r="AJ14" s="461"/>
      <c r="AK14" s="461"/>
      <c r="AL14" s="461"/>
      <c r="AM14" s="461"/>
      <c r="AN14" s="461"/>
      <c r="AO14" s="461"/>
      <c r="AP14" s="461"/>
      <c r="AQ14" s="461"/>
      <c r="AR14" s="461"/>
      <c r="AS14" s="461"/>
      <c r="AT14" s="462"/>
      <c r="AU14" s="217"/>
      <c r="AV14" s="215"/>
    </row>
    <row r="15" spans="1:48" ht="16.5" customHeight="1">
      <c r="A15" s="91"/>
      <c r="B15" s="100"/>
      <c r="C15" s="77"/>
      <c r="D15" s="148"/>
      <c r="E15" s="148"/>
      <c r="F15" s="148"/>
      <c r="G15" s="148"/>
      <c r="H15" s="220"/>
      <c r="I15" s="220"/>
      <c r="J15" s="220"/>
      <c r="K15" s="220"/>
      <c r="L15" s="220"/>
      <c r="M15" s="220"/>
      <c r="N15" s="220"/>
      <c r="O15" s="148"/>
      <c r="P15" s="148"/>
      <c r="Q15" s="148"/>
      <c r="R15" s="220"/>
      <c r="S15" s="220"/>
      <c r="T15" s="220"/>
      <c r="U15" s="220"/>
      <c r="V15" s="77"/>
      <c r="W15" s="103"/>
      <c r="X15" s="90"/>
      <c r="Y15" s="211"/>
      <c r="Z15" s="216"/>
      <c r="AA15" s="219">
        <v>10</v>
      </c>
      <c r="AB15" s="463" t="str">
        <f>STUDENTS!C14</f>
        <v>કુટુંબની ભાષા</v>
      </c>
      <c r="AC15" s="463"/>
      <c r="AD15" s="463"/>
      <c r="AE15" s="463"/>
      <c r="AF15" s="463"/>
      <c r="AG15" s="463"/>
      <c r="AH15" s="463"/>
      <c r="AI15" s="461">
        <f ca="1">INDIRECT("STUDENTS!D"&amp;($R$1-1)*12+14)</f>
        <v>0</v>
      </c>
      <c r="AJ15" s="461"/>
      <c r="AK15" s="461"/>
      <c r="AL15" s="461"/>
      <c r="AM15" s="461"/>
      <c r="AN15" s="461"/>
      <c r="AO15" s="461"/>
      <c r="AP15" s="461"/>
      <c r="AQ15" s="461"/>
      <c r="AR15" s="461"/>
      <c r="AS15" s="461"/>
      <c r="AT15" s="462"/>
      <c r="AU15" s="217"/>
      <c r="AV15" s="215"/>
    </row>
    <row r="16" spans="1:48" ht="16.5" customHeight="1">
      <c r="A16" s="91"/>
      <c r="B16" s="100"/>
      <c r="C16" s="77"/>
      <c r="D16" s="148"/>
      <c r="E16" s="148"/>
      <c r="F16" s="148"/>
      <c r="G16" s="148"/>
      <c r="H16" s="220"/>
      <c r="I16" s="220"/>
      <c r="J16" s="220"/>
      <c r="K16" s="220"/>
      <c r="L16" s="220"/>
      <c r="M16" s="220"/>
      <c r="N16" s="220"/>
      <c r="O16" s="148"/>
      <c r="P16" s="148"/>
      <c r="Q16" s="148"/>
      <c r="R16" s="220"/>
      <c r="S16" s="220"/>
      <c r="T16" s="220"/>
      <c r="U16" s="220"/>
      <c r="V16" s="77"/>
      <c r="W16" s="104"/>
      <c r="X16" s="90"/>
      <c r="Y16" s="211"/>
      <c r="Z16" s="216"/>
      <c r="AA16" s="219">
        <v>11</v>
      </c>
      <c r="AB16" s="463" t="str">
        <f>SCHOOL!A2</f>
        <v>શાળાનું નામ</v>
      </c>
      <c r="AC16" s="463"/>
      <c r="AD16" s="463"/>
      <c r="AE16" s="463"/>
      <c r="AF16" s="463"/>
      <c r="AG16" s="463"/>
      <c r="AH16" s="463"/>
      <c r="AI16" s="461" t="str">
        <f>SCHOOL!B2</f>
        <v>શ્રી બી.આર.આંબેડકર પ્રાથમિક શાળા</v>
      </c>
      <c r="AJ16" s="461"/>
      <c r="AK16" s="461"/>
      <c r="AL16" s="461"/>
      <c r="AM16" s="461"/>
      <c r="AN16" s="461"/>
      <c r="AO16" s="461"/>
      <c r="AP16" s="461"/>
      <c r="AQ16" s="461"/>
      <c r="AR16" s="461"/>
      <c r="AS16" s="461"/>
      <c r="AT16" s="462"/>
      <c r="AU16" s="217"/>
      <c r="AV16" s="215"/>
    </row>
    <row r="17" spans="1:48" ht="16.5" customHeight="1">
      <c r="A17" s="91"/>
      <c r="B17" s="100"/>
      <c r="C17" s="77"/>
      <c r="D17" s="148"/>
      <c r="E17" s="148"/>
      <c r="F17" s="148"/>
      <c r="G17" s="148"/>
      <c r="H17" s="220"/>
      <c r="I17" s="220"/>
      <c r="J17" s="220"/>
      <c r="K17" s="220"/>
      <c r="L17" s="220"/>
      <c r="M17" s="220"/>
      <c r="N17" s="220"/>
      <c r="O17" s="148"/>
      <c r="P17" s="148"/>
      <c r="Q17" s="148"/>
      <c r="R17" s="220"/>
      <c r="S17" s="220"/>
      <c r="T17" s="220"/>
      <c r="U17" s="220"/>
      <c r="V17" s="77"/>
      <c r="W17" s="104"/>
      <c r="X17" s="90"/>
      <c r="Y17" s="211"/>
      <c r="Z17" s="216"/>
      <c r="AA17" s="219">
        <v>12</v>
      </c>
      <c r="AB17" s="463" t="s">
        <v>3</v>
      </c>
      <c r="AC17" s="463"/>
      <c r="AD17" s="463"/>
      <c r="AE17" s="463"/>
      <c r="AF17" s="463"/>
      <c r="AG17" s="463"/>
      <c r="AH17" s="463"/>
      <c r="AI17" s="461">
        <f>SCHOOL!B6</f>
        <v>0</v>
      </c>
      <c r="AJ17" s="461"/>
      <c r="AK17" s="461"/>
      <c r="AL17" s="461"/>
      <c r="AM17" s="461"/>
      <c r="AN17" s="461"/>
      <c r="AO17" s="461"/>
      <c r="AP17" s="461"/>
      <c r="AQ17" s="461"/>
      <c r="AR17" s="461"/>
      <c r="AS17" s="461"/>
      <c r="AT17" s="462"/>
      <c r="AU17" s="217"/>
      <c r="AV17" s="215"/>
    </row>
    <row r="18" spans="1:48" ht="16.5" customHeight="1">
      <c r="A18" s="91"/>
      <c r="B18" s="100"/>
      <c r="C18" s="77"/>
      <c r="D18" s="148"/>
      <c r="E18" s="148"/>
      <c r="F18" s="148"/>
      <c r="G18" s="148"/>
      <c r="H18" s="220"/>
      <c r="I18" s="220"/>
      <c r="J18" s="220"/>
      <c r="K18" s="220"/>
      <c r="L18" s="220"/>
      <c r="M18" s="220"/>
      <c r="N18" s="220"/>
      <c r="O18" s="148"/>
      <c r="P18" s="148"/>
      <c r="Q18" s="148"/>
      <c r="R18" s="220"/>
      <c r="S18" s="220"/>
      <c r="T18" s="220"/>
      <c r="U18" s="220"/>
      <c r="V18" s="77"/>
      <c r="W18" s="104"/>
      <c r="X18" s="90"/>
      <c r="Y18" s="211"/>
      <c r="Z18" s="216"/>
      <c r="AA18" s="221">
        <v>13</v>
      </c>
      <c r="AB18" s="521" t="str">
        <f>STUDENTS!C4</f>
        <v>જ.ર.નંબર</v>
      </c>
      <c r="AC18" s="521"/>
      <c r="AD18" s="521"/>
      <c r="AE18" s="521"/>
      <c r="AF18" s="521"/>
      <c r="AG18" s="521"/>
      <c r="AH18" s="521"/>
      <c r="AI18" s="511">
        <f ca="1">INDIRECT("STUDENTS!D"&amp;($R$1-1)*12+4)</f>
        <v>0</v>
      </c>
      <c r="AJ18" s="511"/>
      <c r="AK18" s="511"/>
      <c r="AL18" s="511"/>
      <c r="AM18" s="511"/>
      <c r="AN18" s="511"/>
      <c r="AO18" s="511"/>
      <c r="AP18" s="511"/>
      <c r="AQ18" s="511"/>
      <c r="AR18" s="511"/>
      <c r="AS18" s="511"/>
      <c r="AT18" s="512"/>
      <c r="AU18" s="217"/>
      <c r="AV18" s="215"/>
    </row>
    <row r="19" spans="1:48" ht="16.5" customHeight="1">
      <c r="A19" s="91"/>
      <c r="B19" s="100"/>
      <c r="D19" s="222"/>
      <c r="E19" s="222"/>
      <c r="F19" s="222"/>
      <c r="G19" s="222"/>
      <c r="H19" s="222"/>
      <c r="I19" s="222"/>
      <c r="J19" s="565" t="s">
        <v>231</v>
      </c>
      <c r="K19" s="565"/>
      <c r="L19" s="565"/>
      <c r="M19" s="565"/>
      <c r="N19" s="565"/>
      <c r="O19" s="565"/>
      <c r="P19" s="565"/>
      <c r="Q19" s="222"/>
      <c r="R19" s="222"/>
      <c r="S19" s="222"/>
      <c r="T19" s="222"/>
      <c r="U19" s="222"/>
      <c r="V19" s="222"/>
      <c r="W19" s="104"/>
      <c r="X19" s="90"/>
      <c r="Y19" s="211"/>
      <c r="Z19" s="216"/>
      <c r="AA19" s="92"/>
      <c r="AB19" s="92"/>
      <c r="AC19" s="92"/>
      <c r="AD19" s="92"/>
      <c r="AE19" s="92"/>
      <c r="AF19" s="92"/>
      <c r="AG19" s="92"/>
      <c r="AH19" s="92"/>
      <c r="AI19" s="92"/>
      <c r="AJ19" s="92"/>
      <c r="AK19" s="92"/>
      <c r="AL19" s="92"/>
      <c r="AM19" s="92"/>
      <c r="AN19" s="92"/>
      <c r="AO19" s="92"/>
      <c r="AP19" s="92"/>
      <c r="AQ19" s="92"/>
      <c r="AR19" s="92"/>
      <c r="AS19" s="92"/>
      <c r="AT19" s="92"/>
      <c r="AU19" s="217"/>
      <c r="AV19" s="215"/>
    </row>
    <row r="20" spans="1:48" ht="16.5" customHeight="1">
      <c r="A20" s="91"/>
      <c r="B20" s="100"/>
      <c r="J20" s="565"/>
      <c r="K20" s="565"/>
      <c r="L20" s="565"/>
      <c r="M20" s="565"/>
      <c r="N20" s="565"/>
      <c r="O20" s="565"/>
      <c r="P20" s="565"/>
      <c r="W20" s="102"/>
      <c r="X20" s="90"/>
      <c r="Y20" s="211"/>
      <c r="Z20" s="216"/>
      <c r="AA20" s="470" t="s">
        <v>9</v>
      </c>
      <c r="AB20" s="470"/>
      <c r="AC20" s="470"/>
      <c r="AD20" s="470"/>
      <c r="AE20" s="470"/>
      <c r="AF20" s="470"/>
      <c r="AG20" s="470"/>
      <c r="AH20" s="470"/>
      <c r="AI20" s="470"/>
      <c r="AJ20" s="470"/>
      <c r="AK20" s="470"/>
      <c r="AL20" s="470"/>
      <c r="AM20" s="470"/>
      <c r="AN20" s="470"/>
      <c r="AO20" s="470"/>
      <c r="AP20" s="470"/>
      <c r="AQ20" s="470"/>
      <c r="AR20" s="470"/>
      <c r="AS20" s="470"/>
      <c r="AT20" s="470"/>
      <c r="AU20" s="217"/>
      <c r="AV20" s="215"/>
    </row>
    <row r="21" spans="1:48" ht="16.5" customHeight="1">
      <c r="A21" s="93"/>
      <c r="B21" s="105"/>
      <c r="W21" s="106"/>
      <c r="X21" s="94"/>
      <c r="Y21" s="211"/>
      <c r="Z21" s="216"/>
      <c r="AA21" s="218">
        <v>14</v>
      </c>
      <c r="AB21" s="500" t="str">
        <f>STUDENTS!E4</f>
        <v>પિતાનું નામ</v>
      </c>
      <c r="AC21" s="500"/>
      <c r="AD21" s="500"/>
      <c r="AE21" s="500"/>
      <c r="AF21" s="500"/>
      <c r="AG21" s="500"/>
      <c r="AH21" s="500"/>
      <c r="AI21" s="498">
        <f ca="1">INDIRECT("STUDENTS!F"&amp;($R$1-1)*12+4)</f>
        <v>0</v>
      </c>
      <c r="AJ21" s="498"/>
      <c r="AK21" s="498"/>
      <c r="AL21" s="498"/>
      <c r="AM21" s="498"/>
      <c r="AN21" s="498"/>
      <c r="AO21" s="498"/>
      <c r="AP21" s="498"/>
      <c r="AQ21" s="498"/>
      <c r="AR21" s="498"/>
      <c r="AS21" s="498"/>
      <c r="AT21" s="499"/>
      <c r="AU21" s="217"/>
      <c r="AV21" s="215"/>
    </row>
    <row r="22" spans="1:48" ht="16.5" customHeight="1">
      <c r="A22" s="91"/>
      <c r="B22" s="100"/>
      <c r="C22" s="583" t="s">
        <v>227</v>
      </c>
      <c r="D22" s="583"/>
      <c r="E22" s="583"/>
      <c r="F22" s="583"/>
      <c r="G22" s="583"/>
      <c r="H22" s="583"/>
      <c r="I22" s="583"/>
      <c r="J22" s="583"/>
      <c r="K22" s="583"/>
      <c r="L22" s="583"/>
      <c r="M22" s="583"/>
      <c r="N22" s="583"/>
      <c r="O22" s="583"/>
      <c r="P22" s="583"/>
      <c r="Q22" s="583"/>
      <c r="R22" s="583"/>
      <c r="S22" s="583"/>
      <c r="T22" s="583"/>
      <c r="U22" s="583"/>
      <c r="V22" s="583"/>
      <c r="W22" s="107"/>
      <c r="X22" s="90"/>
      <c r="Y22" s="211"/>
      <c r="Z22" s="216"/>
      <c r="AA22" s="219">
        <v>15</v>
      </c>
      <c r="AB22" s="463" t="str">
        <f>STUDENTS!E5</f>
        <v>ઉમર (વર્ષ)</v>
      </c>
      <c r="AC22" s="463"/>
      <c r="AD22" s="463"/>
      <c r="AE22" s="463"/>
      <c r="AF22" s="463"/>
      <c r="AG22" s="463"/>
      <c r="AH22" s="463"/>
      <c r="AI22" s="461">
        <f ca="1">INDIRECT("STUDENTS!F"&amp;($R$1-1)*12+5)</f>
        <v>0</v>
      </c>
      <c r="AJ22" s="461"/>
      <c r="AK22" s="461"/>
      <c r="AL22" s="461"/>
      <c r="AM22" s="461"/>
      <c r="AN22" s="461"/>
      <c r="AO22" s="461"/>
      <c r="AP22" s="461"/>
      <c r="AQ22" s="461"/>
      <c r="AR22" s="461"/>
      <c r="AS22" s="461"/>
      <c r="AT22" s="462"/>
      <c r="AU22" s="217"/>
      <c r="AV22" s="215"/>
    </row>
    <row r="23" spans="1:48" ht="16.5" customHeight="1">
      <c r="A23" s="91"/>
      <c r="B23" s="100"/>
      <c r="C23" s="583"/>
      <c r="D23" s="583"/>
      <c r="E23" s="583"/>
      <c r="F23" s="583"/>
      <c r="G23" s="583"/>
      <c r="H23" s="583"/>
      <c r="I23" s="583"/>
      <c r="J23" s="583"/>
      <c r="K23" s="583"/>
      <c r="L23" s="583"/>
      <c r="M23" s="583"/>
      <c r="N23" s="583"/>
      <c r="O23" s="583"/>
      <c r="P23" s="583"/>
      <c r="Q23" s="583"/>
      <c r="R23" s="583"/>
      <c r="S23" s="583"/>
      <c r="T23" s="583"/>
      <c r="U23" s="583"/>
      <c r="V23" s="583"/>
      <c r="W23" s="107"/>
      <c r="X23" s="90"/>
      <c r="Y23" s="211"/>
      <c r="Z23" s="216"/>
      <c r="AA23" s="219">
        <v>16</v>
      </c>
      <c r="AB23" s="463" t="str">
        <f>STUDENTS!E6</f>
        <v>અભ્યાસ</v>
      </c>
      <c r="AC23" s="463"/>
      <c r="AD23" s="463"/>
      <c r="AE23" s="463"/>
      <c r="AF23" s="463"/>
      <c r="AG23" s="463"/>
      <c r="AH23" s="463"/>
      <c r="AI23" s="460">
        <f ca="1">INDIRECT("STUDENTS!F"&amp;($R$1-1)*12+6)</f>
        <v>0</v>
      </c>
      <c r="AJ23" s="461"/>
      <c r="AK23" s="461"/>
      <c r="AL23" s="461"/>
      <c r="AM23" s="461"/>
      <c r="AN23" s="461"/>
      <c r="AO23" s="461"/>
      <c r="AP23" s="461"/>
      <c r="AQ23" s="461"/>
      <c r="AR23" s="461"/>
      <c r="AS23" s="461"/>
      <c r="AT23" s="462"/>
      <c r="AU23" s="217"/>
      <c r="AV23" s="215"/>
    </row>
    <row r="24" spans="1:48" ht="16.5" customHeight="1">
      <c r="A24" s="91"/>
      <c r="B24" s="100"/>
      <c r="C24" s="564" t="s">
        <v>228</v>
      </c>
      <c r="D24" s="564"/>
      <c r="E24" s="564"/>
      <c r="F24" s="564"/>
      <c r="G24" s="564"/>
      <c r="H24" s="564"/>
      <c r="I24" s="564"/>
      <c r="J24" s="564"/>
      <c r="K24" s="564"/>
      <c r="L24" s="564"/>
      <c r="M24" s="564"/>
      <c r="N24" s="564"/>
      <c r="O24" s="564"/>
      <c r="P24" s="564"/>
      <c r="Q24" s="564"/>
      <c r="R24" s="564"/>
      <c r="S24" s="564"/>
      <c r="T24" s="564"/>
      <c r="U24" s="564"/>
      <c r="V24" s="564"/>
      <c r="W24" s="107"/>
      <c r="X24" s="90"/>
      <c r="Y24" s="211"/>
      <c r="Z24" s="216"/>
      <c r="AA24" s="219">
        <v>17</v>
      </c>
      <c r="AB24" s="463" t="str">
        <f>STUDENTS!E7</f>
        <v>વ્યવસાય (વાર્ષિક આવક)</v>
      </c>
      <c r="AC24" s="463"/>
      <c r="AD24" s="463"/>
      <c r="AE24" s="463"/>
      <c r="AF24" s="463"/>
      <c r="AG24" s="463"/>
      <c r="AH24" s="463"/>
      <c r="AI24" s="461">
        <f ca="1">INDIRECT("STUDENTS!F"&amp;($R$1-1)*12+7)</f>
        <v>0</v>
      </c>
      <c r="AJ24" s="461"/>
      <c r="AK24" s="461"/>
      <c r="AL24" s="461"/>
      <c r="AM24" s="461"/>
      <c r="AN24" s="461"/>
      <c r="AO24" s="461"/>
      <c r="AP24" s="461"/>
      <c r="AQ24" s="461"/>
      <c r="AR24" s="461"/>
      <c r="AS24" s="461"/>
      <c r="AT24" s="462"/>
      <c r="AU24" s="217"/>
      <c r="AV24" s="215"/>
    </row>
    <row r="25" spans="1:48" ht="16.5" customHeight="1">
      <c r="A25" s="91"/>
      <c r="B25" s="100"/>
      <c r="C25" s="564"/>
      <c r="D25" s="564"/>
      <c r="E25" s="564"/>
      <c r="F25" s="564"/>
      <c r="G25" s="564"/>
      <c r="H25" s="564"/>
      <c r="I25" s="564"/>
      <c r="J25" s="564"/>
      <c r="K25" s="564"/>
      <c r="L25" s="564"/>
      <c r="M25" s="564"/>
      <c r="N25" s="564"/>
      <c r="O25" s="564"/>
      <c r="P25" s="564"/>
      <c r="Q25" s="564"/>
      <c r="R25" s="564"/>
      <c r="S25" s="564"/>
      <c r="T25" s="564"/>
      <c r="U25" s="564"/>
      <c r="V25" s="564"/>
      <c r="W25" s="108"/>
      <c r="X25" s="90"/>
      <c r="Y25" s="211"/>
      <c r="Z25" s="216"/>
      <c r="AA25" s="219">
        <v>18</v>
      </c>
      <c r="AB25" s="463" t="str">
        <f>STUDENTS!E8</f>
        <v>વ્યવસાયનું સ્થળ</v>
      </c>
      <c r="AC25" s="463"/>
      <c r="AD25" s="463"/>
      <c r="AE25" s="463"/>
      <c r="AF25" s="463"/>
      <c r="AG25" s="463"/>
      <c r="AH25" s="463"/>
      <c r="AI25" s="461">
        <f ca="1">INDIRECT("STUDENTS!F"&amp;($R$1-1)*12+8)</f>
        <v>0</v>
      </c>
      <c r="AJ25" s="461"/>
      <c r="AK25" s="461"/>
      <c r="AL25" s="461"/>
      <c r="AM25" s="461"/>
      <c r="AN25" s="461"/>
      <c r="AO25" s="461"/>
      <c r="AP25" s="461"/>
      <c r="AQ25" s="461"/>
      <c r="AR25" s="461"/>
      <c r="AS25" s="461"/>
      <c r="AT25" s="462"/>
      <c r="AU25" s="217"/>
      <c r="AV25" s="215"/>
    </row>
    <row r="26" spans="1:48" ht="16.5" customHeight="1">
      <c r="A26" s="91"/>
      <c r="B26" s="100"/>
      <c r="W26" s="108"/>
      <c r="X26" s="90"/>
      <c r="Y26" s="211"/>
      <c r="Z26" s="216"/>
      <c r="AA26" s="219">
        <v>19</v>
      </c>
      <c r="AB26" s="463" t="str">
        <f>STUDENTS!E9</f>
        <v>સંપર્ક નંબર</v>
      </c>
      <c r="AC26" s="463"/>
      <c r="AD26" s="463"/>
      <c r="AE26" s="463"/>
      <c r="AF26" s="463"/>
      <c r="AG26" s="463"/>
      <c r="AH26" s="463"/>
      <c r="AI26" s="461">
        <f ca="1">INDIRECT("STUDENTS!F"&amp;($R$1-1)*12+9)</f>
        <v>0</v>
      </c>
      <c r="AJ26" s="461"/>
      <c r="AK26" s="461"/>
      <c r="AL26" s="461"/>
      <c r="AM26" s="461"/>
      <c r="AN26" s="461"/>
      <c r="AO26" s="461"/>
      <c r="AP26" s="461"/>
      <c r="AQ26" s="461"/>
      <c r="AR26" s="461"/>
      <c r="AS26" s="461"/>
      <c r="AT26" s="462"/>
      <c r="AU26" s="217"/>
      <c r="AV26" s="215"/>
    </row>
    <row r="27" spans="1:48" ht="16.5" customHeight="1">
      <c r="A27" s="91"/>
      <c r="B27" s="100"/>
      <c r="C27" s="566" t="str">
        <f>SCHOOL!B2</f>
        <v>શ્રી બી.આર.આંબેડકર પ્રાથમિક શાળા</v>
      </c>
      <c r="D27" s="566"/>
      <c r="E27" s="566"/>
      <c r="F27" s="566"/>
      <c r="G27" s="566"/>
      <c r="H27" s="566"/>
      <c r="I27" s="566"/>
      <c r="J27" s="566"/>
      <c r="K27" s="566"/>
      <c r="L27" s="566"/>
      <c r="M27" s="566"/>
      <c r="N27" s="566"/>
      <c r="O27" s="566"/>
      <c r="P27" s="566"/>
      <c r="Q27" s="566"/>
      <c r="R27" s="566"/>
      <c r="S27" s="566"/>
      <c r="T27" s="566"/>
      <c r="U27" s="566"/>
      <c r="V27" s="566"/>
      <c r="W27" s="108"/>
      <c r="X27" s="90"/>
      <c r="Y27" s="211"/>
      <c r="Z27" s="216"/>
      <c r="AA27" s="219">
        <v>20</v>
      </c>
      <c r="AB27" s="463" t="str">
        <f>STUDENTS!E10</f>
        <v>માતાનું નામ</v>
      </c>
      <c r="AC27" s="463"/>
      <c r="AD27" s="463"/>
      <c r="AE27" s="463"/>
      <c r="AF27" s="463"/>
      <c r="AG27" s="463"/>
      <c r="AH27" s="463"/>
      <c r="AI27" s="461">
        <f ca="1">INDIRECT("STUDENTS!F"&amp;($R$1-1)*12+10)</f>
        <v>0</v>
      </c>
      <c r="AJ27" s="461"/>
      <c r="AK27" s="461"/>
      <c r="AL27" s="461"/>
      <c r="AM27" s="461"/>
      <c r="AN27" s="461"/>
      <c r="AO27" s="461"/>
      <c r="AP27" s="461"/>
      <c r="AQ27" s="461"/>
      <c r="AR27" s="461"/>
      <c r="AS27" s="461"/>
      <c r="AT27" s="462"/>
      <c r="AU27" s="217"/>
      <c r="AV27" s="215"/>
    </row>
    <row r="28" spans="1:48" ht="16.5" customHeight="1">
      <c r="A28" s="91"/>
      <c r="B28" s="100"/>
      <c r="C28" s="567"/>
      <c r="D28" s="567"/>
      <c r="E28" s="567"/>
      <c r="F28" s="567"/>
      <c r="G28" s="567"/>
      <c r="H28" s="567"/>
      <c r="I28" s="567"/>
      <c r="J28" s="567"/>
      <c r="K28" s="567"/>
      <c r="L28" s="567"/>
      <c r="M28" s="567"/>
      <c r="N28" s="567"/>
      <c r="O28" s="567"/>
      <c r="P28" s="567"/>
      <c r="Q28" s="567"/>
      <c r="R28" s="567"/>
      <c r="S28" s="567"/>
      <c r="T28" s="567"/>
      <c r="U28" s="567"/>
      <c r="V28" s="567"/>
      <c r="W28" s="108"/>
      <c r="X28" s="90"/>
      <c r="Y28" s="211"/>
      <c r="Z28" s="216"/>
      <c r="AA28" s="219">
        <v>21</v>
      </c>
      <c r="AB28" s="463" t="str">
        <f>STUDENTS!E11</f>
        <v>માતાનો વ્યવસાય</v>
      </c>
      <c r="AC28" s="463"/>
      <c r="AD28" s="463"/>
      <c r="AE28" s="463"/>
      <c r="AF28" s="463"/>
      <c r="AG28" s="463"/>
      <c r="AH28" s="463"/>
      <c r="AI28" s="461">
        <f ca="1">INDIRECT("STUDENTS!F"&amp;($R$1-1)*12+11)</f>
        <v>0</v>
      </c>
      <c r="AJ28" s="461"/>
      <c r="AK28" s="461"/>
      <c r="AL28" s="461"/>
      <c r="AM28" s="461"/>
      <c r="AN28" s="461"/>
      <c r="AO28" s="461"/>
      <c r="AP28" s="461"/>
      <c r="AQ28" s="461"/>
      <c r="AR28" s="461"/>
      <c r="AS28" s="461"/>
      <c r="AT28" s="462"/>
      <c r="AU28" s="217"/>
      <c r="AV28" s="215"/>
    </row>
    <row r="29" spans="1:48" ht="16.5" customHeight="1">
      <c r="A29" s="91"/>
      <c r="B29" s="100"/>
      <c r="C29" s="568" t="s">
        <v>201</v>
      </c>
      <c r="D29" s="568"/>
      <c r="E29" s="569" t="str">
        <f>SCHOOL!B3</f>
        <v>રાજકોટ</v>
      </c>
      <c r="F29" s="569"/>
      <c r="G29" s="569"/>
      <c r="H29" s="569"/>
      <c r="I29" s="568" t="s">
        <v>1</v>
      </c>
      <c r="J29" s="568"/>
      <c r="K29" s="569" t="str">
        <f>SCHOOL!B4</f>
        <v>રાજકોટ</v>
      </c>
      <c r="L29" s="569"/>
      <c r="M29" s="569"/>
      <c r="N29" s="569"/>
      <c r="O29" s="569"/>
      <c r="P29" s="568" t="s">
        <v>2</v>
      </c>
      <c r="Q29" s="568"/>
      <c r="R29" s="569" t="str">
        <f>SCHOOL!B5</f>
        <v>રાજકોટ</v>
      </c>
      <c r="S29" s="569"/>
      <c r="T29" s="569"/>
      <c r="U29" s="569"/>
      <c r="V29" s="569"/>
      <c r="W29" s="109"/>
      <c r="X29" s="90"/>
      <c r="Y29" s="211"/>
      <c r="Z29" s="216"/>
      <c r="AA29" s="219">
        <v>22</v>
      </c>
      <c r="AB29" s="463" t="str">
        <f>STUDENTS!E12</f>
        <v>ભાઇ</v>
      </c>
      <c r="AC29" s="463"/>
      <c r="AD29" s="463"/>
      <c r="AE29" s="463"/>
      <c r="AF29" s="463"/>
      <c r="AG29" s="463"/>
      <c r="AH29" s="463"/>
      <c r="AI29" s="461">
        <f ca="1">INDIRECT("STUDENTS!F"&amp;($R$1-1)*12+12)</f>
        <v>0</v>
      </c>
      <c r="AJ29" s="461"/>
      <c r="AK29" s="461"/>
      <c r="AL29" s="461"/>
      <c r="AM29" s="461"/>
      <c r="AN29" s="461"/>
      <c r="AO29" s="461"/>
      <c r="AP29" s="461"/>
      <c r="AQ29" s="461"/>
      <c r="AR29" s="461"/>
      <c r="AS29" s="461"/>
      <c r="AT29" s="462"/>
      <c r="AU29" s="217"/>
      <c r="AV29" s="215"/>
    </row>
    <row r="30" spans="1:48" ht="16.5" customHeight="1">
      <c r="A30" s="91"/>
      <c r="B30" s="100"/>
      <c r="C30" s="568"/>
      <c r="D30" s="568"/>
      <c r="E30" s="569"/>
      <c r="F30" s="569"/>
      <c r="G30" s="569"/>
      <c r="H30" s="569"/>
      <c r="I30" s="568"/>
      <c r="J30" s="568"/>
      <c r="K30" s="569"/>
      <c r="L30" s="569"/>
      <c r="M30" s="569"/>
      <c r="N30" s="569"/>
      <c r="O30" s="569"/>
      <c r="P30" s="568"/>
      <c r="Q30" s="568"/>
      <c r="R30" s="569"/>
      <c r="S30" s="569"/>
      <c r="T30" s="569"/>
      <c r="U30" s="569"/>
      <c r="V30" s="569"/>
      <c r="W30" s="102"/>
      <c r="X30" s="90"/>
      <c r="Y30" s="211"/>
      <c r="Z30" s="216"/>
      <c r="AA30" s="221">
        <v>23</v>
      </c>
      <c r="AB30" s="521" t="str">
        <f>STUDENTS!E13</f>
        <v>બહેન</v>
      </c>
      <c r="AC30" s="521"/>
      <c r="AD30" s="521"/>
      <c r="AE30" s="521"/>
      <c r="AF30" s="521"/>
      <c r="AG30" s="521"/>
      <c r="AH30" s="521"/>
      <c r="AI30" s="511">
        <f ca="1">INDIRECT("STUDENTS!F"&amp;($R$1-1)*12+13)</f>
        <v>0</v>
      </c>
      <c r="AJ30" s="511"/>
      <c r="AK30" s="511"/>
      <c r="AL30" s="511"/>
      <c r="AM30" s="511"/>
      <c r="AN30" s="511"/>
      <c r="AO30" s="511"/>
      <c r="AP30" s="511"/>
      <c r="AQ30" s="511"/>
      <c r="AR30" s="511"/>
      <c r="AS30" s="511"/>
      <c r="AT30" s="512"/>
      <c r="AU30" s="217"/>
      <c r="AV30" s="215"/>
    </row>
    <row r="31" spans="1:48" ht="16.5" customHeight="1">
      <c r="A31" s="91"/>
      <c r="B31" s="100"/>
      <c r="C31" s="77"/>
      <c r="D31" s="83"/>
      <c r="U31" s="77"/>
      <c r="V31" s="77"/>
      <c r="W31" s="102"/>
      <c r="X31" s="90"/>
      <c r="Y31" s="211"/>
      <c r="Z31" s="216"/>
      <c r="AA31" s="92"/>
      <c r="AB31" s="92"/>
      <c r="AC31" s="92"/>
      <c r="AD31" s="92"/>
      <c r="AE31" s="92"/>
      <c r="AF31" s="92"/>
      <c r="AG31" s="92"/>
      <c r="AH31" s="92"/>
      <c r="AI31" s="92"/>
      <c r="AJ31" s="92"/>
      <c r="AK31" s="92"/>
      <c r="AL31" s="92"/>
      <c r="AM31" s="92"/>
      <c r="AN31" s="92"/>
      <c r="AO31" s="92"/>
      <c r="AP31" s="92"/>
      <c r="AQ31" s="92"/>
      <c r="AR31" s="92"/>
      <c r="AS31" s="92"/>
      <c r="AT31" s="92"/>
      <c r="AU31" s="217"/>
      <c r="AV31" s="215"/>
    </row>
    <row r="32" spans="1:48" ht="16.5" customHeight="1">
      <c r="A32" s="91"/>
      <c r="B32" s="100"/>
      <c r="C32" s="77"/>
      <c r="D32" s="77"/>
      <c r="E32" s="556" t="s">
        <v>86</v>
      </c>
      <c r="F32" s="557"/>
      <c r="G32" s="557"/>
      <c r="H32" s="558"/>
      <c r="I32" s="482" t="str">
        <f ca="1">INDIRECT("STUDENTS!B"&amp;($R$1-1)*12+4)</f>
        <v>ગરણિયા મયુરકુમાર અશોકભાઇ</v>
      </c>
      <c r="J32" s="483"/>
      <c r="K32" s="483"/>
      <c r="L32" s="483"/>
      <c r="M32" s="483"/>
      <c r="N32" s="483"/>
      <c r="O32" s="483"/>
      <c r="P32" s="483"/>
      <c r="Q32" s="483"/>
      <c r="R32" s="483"/>
      <c r="S32" s="483"/>
      <c r="T32" s="484"/>
      <c r="U32" s="77"/>
      <c r="V32" s="77"/>
      <c r="W32" s="102"/>
      <c r="X32" s="90"/>
      <c r="Y32" s="211"/>
      <c r="Z32" s="216"/>
      <c r="AA32" s="470" t="s">
        <v>10</v>
      </c>
      <c r="AB32" s="470"/>
      <c r="AC32" s="470"/>
      <c r="AD32" s="470"/>
      <c r="AE32" s="470"/>
      <c r="AF32" s="470"/>
      <c r="AG32" s="470"/>
      <c r="AH32" s="470"/>
      <c r="AI32" s="470"/>
      <c r="AJ32" s="470"/>
      <c r="AK32" s="470"/>
      <c r="AL32" s="470"/>
      <c r="AM32" s="470"/>
      <c r="AN32" s="470"/>
      <c r="AO32" s="470"/>
      <c r="AP32" s="470"/>
      <c r="AQ32" s="470"/>
      <c r="AR32" s="470"/>
      <c r="AS32" s="470"/>
      <c r="AT32" s="470"/>
      <c r="AU32" s="217"/>
      <c r="AV32" s="215"/>
    </row>
    <row r="33" spans="1:48" ht="16.5" customHeight="1">
      <c r="A33" s="91"/>
      <c r="B33" s="100"/>
      <c r="C33" s="77"/>
      <c r="D33" s="77"/>
      <c r="E33" s="559"/>
      <c r="F33" s="560"/>
      <c r="G33" s="560"/>
      <c r="H33" s="561"/>
      <c r="I33" s="485"/>
      <c r="J33" s="486"/>
      <c r="K33" s="486"/>
      <c r="L33" s="486"/>
      <c r="M33" s="486"/>
      <c r="N33" s="486"/>
      <c r="O33" s="486"/>
      <c r="P33" s="486"/>
      <c r="Q33" s="486"/>
      <c r="R33" s="486"/>
      <c r="S33" s="486"/>
      <c r="T33" s="487"/>
      <c r="U33" s="77"/>
      <c r="V33" s="77"/>
      <c r="W33" s="102"/>
      <c r="X33" s="90"/>
      <c r="Y33" s="211"/>
      <c r="Z33" s="216"/>
      <c r="AA33" s="471" t="str">
        <f>STUDENTS!G3</f>
        <v xml:space="preserve">ધોરણ </v>
      </c>
      <c r="AB33" s="472"/>
      <c r="AC33" s="472" t="str">
        <f>STUDENTS!H3</f>
        <v>વજન (કિગ્રા)</v>
      </c>
      <c r="AD33" s="472"/>
      <c r="AE33" s="472"/>
      <c r="AF33" s="472"/>
      <c r="AG33" s="472"/>
      <c r="AH33" s="472"/>
      <c r="AI33" s="473" t="str">
        <f>STUDENTS!I3</f>
        <v>ઉંચાઇ (સેમી)</v>
      </c>
      <c r="AJ33" s="473"/>
      <c r="AK33" s="473"/>
      <c r="AL33" s="473"/>
      <c r="AM33" s="473"/>
      <c r="AN33" s="473"/>
      <c r="AO33" s="473" t="str">
        <f>STUDENTS!J3</f>
        <v>છાતી (સેમી)</v>
      </c>
      <c r="AP33" s="473"/>
      <c r="AQ33" s="473"/>
      <c r="AR33" s="473"/>
      <c r="AS33" s="473"/>
      <c r="AT33" s="474"/>
      <c r="AU33" s="217"/>
      <c r="AV33" s="215"/>
    </row>
    <row r="34" spans="1:48" ht="16.5" customHeight="1">
      <c r="A34" s="91"/>
      <c r="B34" s="100"/>
      <c r="C34" s="77"/>
      <c r="D34" s="77"/>
      <c r="E34" s="562" t="s">
        <v>37</v>
      </c>
      <c r="F34" s="503"/>
      <c r="G34" s="503"/>
      <c r="H34" s="503"/>
      <c r="I34" s="505">
        <f ca="1">INDIRECT("STUDENTS!D"&amp;($R$1-1)*12+6)</f>
        <v>0</v>
      </c>
      <c r="J34" s="505"/>
      <c r="K34" s="505"/>
      <c r="L34" s="505"/>
      <c r="M34" s="503" t="s">
        <v>229</v>
      </c>
      <c r="N34" s="503"/>
      <c r="O34" s="503"/>
      <c r="P34" s="503"/>
      <c r="Q34" s="507">
        <f ca="1">INDIRECT("STUDENTS!D"&amp;($R$1-1)*12+8)</f>
        <v>0</v>
      </c>
      <c r="R34" s="507"/>
      <c r="S34" s="507"/>
      <c r="T34" s="508"/>
      <c r="U34" s="77"/>
      <c r="V34" s="77"/>
      <c r="W34" s="102"/>
      <c r="X34" s="90"/>
      <c r="Y34" s="211"/>
      <c r="Z34" s="216"/>
      <c r="AA34" s="475">
        <v>6</v>
      </c>
      <c r="AB34" s="476"/>
      <c r="AC34" s="464">
        <f ca="1">INDIRECT("STUDENTS!H"&amp;($R$1-1)*12+4)</f>
        <v>0</v>
      </c>
      <c r="AD34" s="464"/>
      <c r="AE34" s="464"/>
      <c r="AF34" s="464"/>
      <c r="AG34" s="464"/>
      <c r="AH34" s="464"/>
      <c r="AI34" s="464">
        <f ca="1">INDIRECT("STUDENTS!I"&amp;($R$1-1)*12+4)</f>
        <v>0</v>
      </c>
      <c r="AJ34" s="464"/>
      <c r="AK34" s="464"/>
      <c r="AL34" s="464"/>
      <c r="AM34" s="464"/>
      <c r="AN34" s="464"/>
      <c r="AO34" s="464">
        <f ca="1">INDIRECT("STUDENTS!J"&amp;($R$1-1)*12+4)</f>
        <v>0</v>
      </c>
      <c r="AP34" s="464"/>
      <c r="AQ34" s="464"/>
      <c r="AR34" s="464"/>
      <c r="AS34" s="464"/>
      <c r="AT34" s="465"/>
      <c r="AU34" s="217"/>
      <c r="AV34" s="215"/>
    </row>
    <row r="35" spans="1:48" ht="16.5" customHeight="1">
      <c r="A35" s="91"/>
      <c r="B35" s="100"/>
      <c r="C35" s="77"/>
      <c r="D35" s="77"/>
      <c r="E35" s="563"/>
      <c r="F35" s="504"/>
      <c r="G35" s="504"/>
      <c r="H35" s="504"/>
      <c r="I35" s="506"/>
      <c r="J35" s="506"/>
      <c r="K35" s="506"/>
      <c r="L35" s="506"/>
      <c r="M35" s="504"/>
      <c r="N35" s="504"/>
      <c r="O35" s="504"/>
      <c r="P35" s="504"/>
      <c r="Q35" s="509"/>
      <c r="R35" s="509"/>
      <c r="S35" s="509"/>
      <c r="T35" s="510"/>
      <c r="U35" s="77"/>
      <c r="V35" s="77"/>
      <c r="W35" s="102"/>
      <c r="X35" s="90"/>
      <c r="Y35" s="211"/>
      <c r="Z35" s="216"/>
      <c r="AA35" s="475">
        <v>7</v>
      </c>
      <c r="AB35" s="476"/>
      <c r="AC35" s="464">
        <f ca="1">INDIRECT("STUDENTS!H"&amp;($R$1-1)*12+5)</f>
        <v>0</v>
      </c>
      <c r="AD35" s="464"/>
      <c r="AE35" s="464"/>
      <c r="AF35" s="464"/>
      <c r="AG35" s="464"/>
      <c r="AH35" s="464"/>
      <c r="AI35" s="464">
        <f ca="1">INDIRECT("STUDENTS!I"&amp;($R$1-1)*12+5)</f>
        <v>0</v>
      </c>
      <c r="AJ35" s="464"/>
      <c r="AK35" s="464"/>
      <c r="AL35" s="464"/>
      <c r="AM35" s="464"/>
      <c r="AN35" s="464"/>
      <c r="AO35" s="464">
        <f ca="1">INDIRECT("STUDENTS!J"&amp;($R$1-1)*12+5)</f>
        <v>0</v>
      </c>
      <c r="AP35" s="464"/>
      <c r="AQ35" s="464"/>
      <c r="AR35" s="464"/>
      <c r="AS35" s="464"/>
      <c r="AT35" s="465"/>
      <c r="AU35" s="217"/>
      <c r="AV35" s="215"/>
    </row>
    <row r="36" spans="1:48" ht="16.5" customHeight="1">
      <c r="A36" s="91"/>
      <c r="B36" s="100"/>
      <c r="C36" s="77"/>
      <c r="D36" s="77"/>
      <c r="U36" s="77"/>
      <c r="V36" s="77"/>
      <c r="W36" s="102"/>
      <c r="X36" s="90"/>
      <c r="Y36" s="211"/>
      <c r="Z36" s="216"/>
      <c r="AA36" s="466">
        <v>8</v>
      </c>
      <c r="AB36" s="467"/>
      <c r="AC36" s="468">
        <f ca="1">INDIRECT("STUDENTS!H"&amp;($R$1-1)*12+6)</f>
        <v>0</v>
      </c>
      <c r="AD36" s="468"/>
      <c r="AE36" s="468"/>
      <c r="AF36" s="468"/>
      <c r="AG36" s="468"/>
      <c r="AH36" s="468"/>
      <c r="AI36" s="468">
        <f ca="1">INDIRECT("STUDENTS!I"&amp;($R$1-1)*12+6)</f>
        <v>0</v>
      </c>
      <c r="AJ36" s="468"/>
      <c r="AK36" s="468"/>
      <c r="AL36" s="468"/>
      <c r="AM36" s="468"/>
      <c r="AN36" s="468"/>
      <c r="AO36" s="468">
        <f ca="1">INDIRECT("STUDENTS!J"&amp;($R$1-1)*12+6)</f>
        <v>0</v>
      </c>
      <c r="AP36" s="468"/>
      <c r="AQ36" s="468"/>
      <c r="AR36" s="468"/>
      <c r="AS36" s="468"/>
      <c r="AT36" s="469"/>
      <c r="AU36" s="217"/>
      <c r="AV36" s="215"/>
    </row>
    <row r="37" spans="1:48" ht="16.5" customHeight="1">
      <c r="A37" s="91"/>
      <c r="B37" s="100"/>
      <c r="C37" s="77"/>
      <c r="D37" s="77"/>
      <c r="U37" s="77"/>
      <c r="V37" s="77"/>
      <c r="W37" s="102"/>
      <c r="X37" s="90"/>
      <c r="Y37" s="211"/>
      <c r="Z37" s="216"/>
      <c r="AA37" s="92"/>
      <c r="AB37" s="92"/>
      <c r="AC37" s="92"/>
      <c r="AD37" s="92"/>
      <c r="AE37" s="92"/>
      <c r="AF37" s="92"/>
      <c r="AG37" s="92"/>
      <c r="AH37" s="92"/>
      <c r="AI37" s="92"/>
      <c r="AJ37" s="92"/>
      <c r="AK37" s="92"/>
      <c r="AL37" s="92"/>
      <c r="AM37" s="92"/>
      <c r="AN37" s="92"/>
      <c r="AO37" s="92"/>
      <c r="AP37" s="92"/>
      <c r="AQ37" s="92"/>
      <c r="AR37" s="92"/>
      <c r="AS37" s="92"/>
      <c r="AT37" s="92"/>
      <c r="AU37" s="217"/>
      <c r="AV37" s="215"/>
    </row>
    <row r="38" spans="1:48" ht="16.5" customHeight="1">
      <c r="A38" s="91"/>
      <c r="B38" s="100"/>
      <c r="C38" s="77"/>
      <c r="D38" s="77"/>
      <c r="U38" s="77"/>
      <c r="V38" s="77"/>
      <c r="W38" s="102"/>
      <c r="X38" s="90"/>
      <c r="Y38" s="211"/>
      <c r="Z38" s="216"/>
      <c r="AA38" s="470" t="s">
        <v>15</v>
      </c>
      <c r="AB38" s="470"/>
      <c r="AC38" s="470"/>
      <c r="AD38" s="470"/>
      <c r="AE38" s="470"/>
      <c r="AF38" s="470"/>
      <c r="AG38" s="470"/>
      <c r="AH38" s="470"/>
      <c r="AI38" s="470"/>
      <c r="AJ38" s="470"/>
      <c r="AK38" s="470"/>
      <c r="AL38" s="470"/>
      <c r="AM38" s="470"/>
      <c r="AN38" s="470"/>
      <c r="AO38" s="470"/>
      <c r="AP38" s="470"/>
      <c r="AQ38" s="470"/>
      <c r="AR38" s="470"/>
      <c r="AS38" s="470"/>
      <c r="AT38" s="470"/>
      <c r="AU38" s="217"/>
      <c r="AV38" s="215"/>
    </row>
    <row r="39" spans="1:48" ht="16.5" customHeight="1">
      <c r="A39" s="91"/>
      <c r="B39" s="100"/>
      <c r="C39" s="77"/>
      <c r="D39" s="77"/>
      <c r="U39" s="77"/>
      <c r="V39" s="77"/>
      <c r="W39" s="102"/>
      <c r="X39" s="90"/>
      <c r="Y39" s="211"/>
      <c r="Z39" s="216"/>
      <c r="AA39" s="471" t="str">
        <f>STUDENTS!G9</f>
        <v>ધોરણ</v>
      </c>
      <c r="AB39" s="472"/>
      <c r="AC39" s="472" t="str">
        <f>STUDENTS!H9</f>
        <v>કુલ દિવસો</v>
      </c>
      <c r="AD39" s="472"/>
      <c r="AE39" s="472"/>
      <c r="AF39" s="472"/>
      <c r="AG39" s="472"/>
      <c r="AH39" s="472"/>
      <c r="AI39" s="473" t="str">
        <f>STUDENTS!I9</f>
        <v>હાજરી</v>
      </c>
      <c r="AJ39" s="473"/>
      <c r="AK39" s="473"/>
      <c r="AL39" s="473"/>
      <c r="AM39" s="473"/>
      <c r="AN39" s="473"/>
      <c r="AO39" s="473" t="str">
        <f>STUDENTS!J9</f>
        <v>નોંધ</v>
      </c>
      <c r="AP39" s="473"/>
      <c r="AQ39" s="473"/>
      <c r="AR39" s="473"/>
      <c r="AS39" s="473"/>
      <c r="AT39" s="474"/>
      <c r="AU39" s="217"/>
      <c r="AV39" s="215"/>
    </row>
    <row r="40" spans="1:48" ht="16.5" customHeight="1">
      <c r="A40" s="91"/>
      <c r="B40" s="100"/>
      <c r="C40" s="77"/>
      <c r="D40" s="77"/>
      <c r="U40" s="77"/>
      <c r="V40" s="77"/>
      <c r="W40" s="102"/>
      <c r="X40" s="90"/>
      <c r="Y40" s="211"/>
      <c r="Z40" s="216"/>
      <c r="AA40" s="475">
        <v>6</v>
      </c>
      <c r="AB40" s="476"/>
      <c r="AC40" s="464">
        <f ca="1">INDIRECT("STUDENTS!H"&amp;($R$1-1)*12+10)</f>
        <v>0</v>
      </c>
      <c r="AD40" s="464"/>
      <c r="AE40" s="464"/>
      <c r="AF40" s="464"/>
      <c r="AG40" s="464"/>
      <c r="AH40" s="464"/>
      <c r="AI40" s="464">
        <f ca="1">INDIRECT("STUDENTS!I"&amp;($R$1-1)*12+10)</f>
        <v>0</v>
      </c>
      <c r="AJ40" s="464"/>
      <c r="AK40" s="464"/>
      <c r="AL40" s="464"/>
      <c r="AM40" s="464"/>
      <c r="AN40" s="464"/>
      <c r="AO40" s="464">
        <f ca="1">INDIRECT("STUDENTS!J"&amp;($R$1-1)*12+10)</f>
        <v>0</v>
      </c>
      <c r="AP40" s="464"/>
      <c r="AQ40" s="464"/>
      <c r="AR40" s="464"/>
      <c r="AS40" s="464"/>
      <c r="AT40" s="465"/>
      <c r="AU40" s="217"/>
      <c r="AV40" s="215"/>
    </row>
    <row r="41" spans="1:48" ht="16.5" customHeight="1">
      <c r="A41" s="91"/>
      <c r="B41" s="100"/>
      <c r="C41" s="77"/>
      <c r="D41" s="77"/>
      <c r="U41" s="77"/>
      <c r="V41" s="77"/>
      <c r="W41" s="102"/>
      <c r="X41" s="90"/>
      <c r="Y41" s="211"/>
      <c r="Z41" s="216"/>
      <c r="AA41" s="475">
        <v>7</v>
      </c>
      <c r="AB41" s="476"/>
      <c r="AC41" s="464">
        <f ca="1">INDIRECT("STUDENTS!H"&amp;($R$1-1)*12+11)</f>
        <v>0</v>
      </c>
      <c r="AD41" s="464"/>
      <c r="AE41" s="464"/>
      <c r="AF41" s="464"/>
      <c r="AG41" s="464"/>
      <c r="AH41" s="464"/>
      <c r="AI41" s="464">
        <f ca="1">INDIRECT("STUDENTS!I"&amp;($R$1-1)*12+11)</f>
        <v>0</v>
      </c>
      <c r="AJ41" s="464"/>
      <c r="AK41" s="464"/>
      <c r="AL41" s="464"/>
      <c r="AM41" s="464"/>
      <c r="AN41" s="464"/>
      <c r="AO41" s="464">
        <f ca="1">INDIRECT("STUDENTS!J"&amp;($R$1-1)*12+11)</f>
        <v>0</v>
      </c>
      <c r="AP41" s="464"/>
      <c r="AQ41" s="464"/>
      <c r="AR41" s="464"/>
      <c r="AS41" s="464"/>
      <c r="AT41" s="465"/>
      <c r="AU41" s="217"/>
      <c r="AV41" s="215"/>
    </row>
    <row r="42" spans="1:48" ht="16.5" customHeight="1">
      <c r="A42" s="91"/>
      <c r="B42" s="100"/>
      <c r="C42" s="77"/>
      <c r="D42" s="77"/>
      <c r="U42" s="77"/>
      <c r="V42" s="77"/>
      <c r="W42" s="102"/>
      <c r="X42" s="90"/>
      <c r="Y42" s="211"/>
      <c r="Z42" s="216"/>
      <c r="AA42" s="466">
        <v>8</v>
      </c>
      <c r="AB42" s="467"/>
      <c r="AC42" s="468">
        <f ca="1">INDIRECT("STUDENTS!H"&amp;($R$1-1)*12+12)</f>
        <v>0</v>
      </c>
      <c r="AD42" s="468"/>
      <c r="AE42" s="468"/>
      <c r="AF42" s="468"/>
      <c r="AG42" s="468"/>
      <c r="AH42" s="468"/>
      <c r="AI42" s="468">
        <f ca="1">INDIRECT("STUDENTS!I"&amp;($R$1-1)*12+12)</f>
        <v>0</v>
      </c>
      <c r="AJ42" s="468"/>
      <c r="AK42" s="468"/>
      <c r="AL42" s="468"/>
      <c r="AM42" s="468"/>
      <c r="AN42" s="468"/>
      <c r="AO42" s="468">
        <f ca="1">INDIRECT("STUDENTS!J"&amp;($R$1-1)*12+12)</f>
        <v>0</v>
      </c>
      <c r="AP42" s="468"/>
      <c r="AQ42" s="468"/>
      <c r="AR42" s="468"/>
      <c r="AS42" s="468"/>
      <c r="AT42" s="469"/>
      <c r="AU42" s="217"/>
      <c r="AV42" s="215"/>
    </row>
    <row r="43" spans="1:48" ht="16.5" customHeight="1">
      <c r="A43" s="91"/>
      <c r="B43" s="100"/>
      <c r="C43" s="77"/>
      <c r="D43" s="77"/>
      <c r="U43" s="77"/>
      <c r="V43" s="77"/>
      <c r="W43" s="102"/>
      <c r="X43" s="90"/>
      <c r="Y43" s="211"/>
      <c r="Z43" s="216"/>
      <c r="AA43" s="92"/>
      <c r="AB43" s="92"/>
      <c r="AC43" s="92"/>
      <c r="AD43" s="92"/>
      <c r="AE43" s="92"/>
      <c r="AF43" s="92"/>
      <c r="AG43" s="92"/>
      <c r="AH43" s="92"/>
      <c r="AI43" s="92"/>
      <c r="AJ43" s="92"/>
      <c r="AK43" s="92"/>
      <c r="AL43" s="92"/>
      <c r="AM43" s="92"/>
      <c r="AN43" s="92"/>
      <c r="AO43" s="92"/>
      <c r="AP43" s="92"/>
      <c r="AQ43" s="92"/>
      <c r="AR43" s="92"/>
      <c r="AS43" s="92"/>
      <c r="AT43" s="92"/>
      <c r="AU43" s="217"/>
      <c r="AV43" s="215"/>
    </row>
    <row r="44" spans="1:48" ht="16.5" customHeight="1">
      <c r="A44" s="91"/>
      <c r="B44" s="100"/>
      <c r="C44" s="77"/>
      <c r="D44" s="77"/>
      <c r="U44" s="77"/>
      <c r="V44" s="77"/>
      <c r="W44" s="102"/>
      <c r="X44" s="90"/>
      <c r="Y44" s="211"/>
      <c r="Z44" s="216"/>
      <c r="AA44" s="92"/>
      <c r="AB44" s="92"/>
      <c r="AC44" s="92"/>
      <c r="AD44" s="92"/>
      <c r="AE44" s="92"/>
      <c r="AF44" s="92"/>
      <c r="AG44" s="92"/>
      <c r="AH44" s="92"/>
      <c r="AI44" s="92"/>
      <c r="AJ44" s="92"/>
      <c r="AK44" s="92"/>
      <c r="AL44" s="92"/>
      <c r="AM44" s="92"/>
      <c r="AN44" s="92"/>
      <c r="AO44" s="92"/>
      <c r="AP44" s="92"/>
      <c r="AQ44" s="92"/>
      <c r="AR44" s="92"/>
      <c r="AS44" s="92"/>
      <c r="AT44" s="92"/>
      <c r="AU44" s="217"/>
      <c r="AV44" s="215"/>
    </row>
    <row r="45" spans="1:48" ht="21.75" customHeight="1">
      <c r="A45" s="91"/>
      <c r="B45" s="100"/>
      <c r="C45" s="77"/>
      <c r="D45" s="77"/>
      <c r="U45" s="77"/>
      <c r="V45" s="77"/>
      <c r="W45" s="102"/>
      <c r="X45" s="90"/>
      <c r="Y45" s="211"/>
      <c r="Z45" s="216"/>
      <c r="AA45" s="92"/>
      <c r="AB45" s="92"/>
      <c r="AC45" s="92"/>
      <c r="AD45" s="92"/>
      <c r="AE45" s="92"/>
      <c r="AF45" s="92"/>
      <c r="AG45" s="92"/>
      <c r="AH45" s="92"/>
      <c r="AI45" s="92"/>
      <c r="AJ45" s="92"/>
      <c r="AK45" s="92"/>
      <c r="AL45" s="92"/>
      <c r="AM45" s="92"/>
      <c r="AN45" s="92"/>
      <c r="AO45" s="92"/>
      <c r="AP45" s="92"/>
      <c r="AQ45" s="92"/>
      <c r="AR45" s="92"/>
      <c r="AS45" s="92"/>
      <c r="AT45" s="92"/>
      <c r="AU45" s="217"/>
      <c r="AV45" s="215"/>
    </row>
    <row r="46" spans="1:48" ht="16.5" customHeight="1" thickBot="1">
      <c r="A46" s="91"/>
      <c r="B46" s="110"/>
      <c r="C46" s="111"/>
      <c r="D46" s="111"/>
      <c r="E46" s="111"/>
      <c r="F46" s="111"/>
      <c r="G46" s="111"/>
      <c r="H46" s="111"/>
      <c r="I46" s="111"/>
      <c r="J46" s="111"/>
      <c r="K46" s="111"/>
      <c r="L46" s="111"/>
      <c r="M46" s="111"/>
      <c r="N46" s="111"/>
      <c r="O46" s="111"/>
      <c r="P46" s="111"/>
      <c r="Q46" s="111"/>
      <c r="R46" s="111"/>
      <c r="S46" s="111"/>
      <c r="T46" s="111"/>
      <c r="U46" s="111"/>
      <c r="V46" s="111"/>
      <c r="W46" s="112"/>
      <c r="X46" s="90"/>
      <c r="Y46" s="211"/>
      <c r="Z46" s="223"/>
      <c r="AA46" s="224"/>
      <c r="AB46" s="224"/>
      <c r="AC46" s="224"/>
      <c r="AD46" s="224"/>
      <c r="AE46" s="224"/>
      <c r="AF46" s="224"/>
      <c r="AG46" s="224"/>
      <c r="AH46" s="224"/>
      <c r="AI46" s="224"/>
      <c r="AJ46" s="224"/>
      <c r="AK46" s="224"/>
      <c r="AL46" s="224"/>
      <c r="AM46" s="224"/>
      <c r="AN46" s="224"/>
      <c r="AO46" s="224"/>
      <c r="AP46" s="224"/>
      <c r="AQ46" s="224"/>
      <c r="AR46" s="224"/>
      <c r="AS46" s="224"/>
      <c r="AT46" s="224"/>
      <c r="AU46" s="225"/>
      <c r="AV46" s="215"/>
    </row>
    <row r="47" spans="1:48" ht="16.5" customHeight="1">
      <c r="A47" s="95"/>
      <c r="B47" s="96"/>
      <c r="C47" s="96"/>
      <c r="D47" s="96"/>
      <c r="E47" s="96"/>
      <c r="F47" s="96"/>
      <c r="G47" s="96"/>
      <c r="H47" s="96"/>
      <c r="I47" s="96"/>
      <c r="J47" s="96"/>
      <c r="K47" s="96"/>
      <c r="L47" s="96"/>
      <c r="M47" s="96"/>
      <c r="N47" s="96"/>
      <c r="O47" s="96"/>
      <c r="P47" s="96"/>
      <c r="Q47" s="96"/>
      <c r="R47" s="96"/>
      <c r="S47" s="96"/>
      <c r="T47" s="96"/>
      <c r="U47" s="96"/>
      <c r="V47" s="96"/>
      <c r="W47" s="96"/>
      <c r="X47" s="97"/>
      <c r="Y47" s="226"/>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8"/>
    </row>
    <row r="48" spans="1:48" ht="16.5" customHeight="1"/>
    <row r="49" spans="1:48" ht="15.75" thickBot="1">
      <c r="A49" s="208"/>
      <c r="B49" s="209"/>
      <c r="C49" s="209"/>
      <c r="D49" s="209"/>
      <c r="E49" s="209"/>
      <c r="F49" s="209"/>
      <c r="G49" s="209"/>
      <c r="H49" s="209"/>
      <c r="I49" s="209"/>
      <c r="J49" s="209"/>
      <c r="K49" s="209"/>
      <c r="L49" s="209"/>
      <c r="M49" s="209"/>
      <c r="N49" s="209"/>
      <c r="O49" s="209"/>
      <c r="P49" s="209"/>
      <c r="Q49" s="209"/>
      <c r="R49" s="209"/>
      <c r="S49" s="209"/>
      <c r="T49" s="209"/>
      <c r="U49" s="209"/>
      <c r="V49" s="209"/>
      <c r="W49" s="209"/>
      <c r="X49" s="210"/>
      <c r="Y49" s="208"/>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10"/>
    </row>
    <row r="50" spans="1:48">
      <c r="A50" s="211"/>
      <c r="B50" s="212"/>
      <c r="C50" s="213"/>
      <c r="D50" s="213"/>
      <c r="E50" s="213"/>
      <c r="F50" s="213"/>
      <c r="G50" s="213"/>
      <c r="H50" s="213"/>
      <c r="I50" s="213"/>
      <c r="J50" s="213"/>
      <c r="K50" s="213"/>
      <c r="L50" s="213"/>
      <c r="M50" s="213"/>
      <c r="N50" s="213"/>
      <c r="O50" s="213"/>
      <c r="P50" s="213"/>
      <c r="Q50" s="213"/>
      <c r="R50" s="213"/>
      <c r="S50" s="213"/>
      <c r="T50" s="213"/>
      <c r="U50" s="213"/>
      <c r="V50" s="213"/>
      <c r="W50" s="214"/>
      <c r="X50" s="215"/>
      <c r="Y50" s="211"/>
      <c r="Z50" s="212"/>
      <c r="AA50" s="213"/>
      <c r="AB50" s="213"/>
      <c r="AC50" s="213"/>
      <c r="AD50" s="213"/>
      <c r="AE50" s="213"/>
      <c r="AF50" s="213"/>
      <c r="AG50" s="213"/>
      <c r="AH50" s="213"/>
      <c r="AI50" s="213"/>
      <c r="AJ50" s="213"/>
      <c r="AK50" s="213"/>
      <c r="AL50" s="213"/>
      <c r="AM50" s="213"/>
      <c r="AN50" s="213"/>
      <c r="AO50" s="213"/>
      <c r="AP50" s="213"/>
      <c r="AQ50" s="213"/>
      <c r="AR50" s="213"/>
      <c r="AS50" s="213"/>
      <c r="AT50" s="213"/>
      <c r="AU50" s="214"/>
      <c r="AV50" s="215"/>
    </row>
    <row r="51" spans="1:48">
      <c r="A51" s="211"/>
      <c r="B51" s="216"/>
      <c r="C51" s="579" t="s">
        <v>17</v>
      </c>
      <c r="D51" s="579"/>
      <c r="E51" s="579"/>
      <c r="F51" s="579"/>
      <c r="G51" s="579"/>
      <c r="H51" s="579"/>
      <c r="I51" s="579"/>
      <c r="J51" s="579"/>
      <c r="K51" s="579"/>
      <c r="L51" s="579"/>
      <c r="M51" s="579"/>
      <c r="N51" s="579"/>
      <c r="O51" s="579"/>
      <c r="P51" s="579"/>
      <c r="Q51" s="579"/>
      <c r="R51" s="579"/>
      <c r="S51" s="579"/>
      <c r="T51" s="579"/>
      <c r="U51" s="579"/>
      <c r="V51" s="579"/>
      <c r="W51" s="217"/>
      <c r="X51" s="215"/>
      <c r="Y51" s="211"/>
      <c r="Z51" s="216"/>
      <c r="AA51" s="470" t="s">
        <v>22</v>
      </c>
      <c r="AB51" s="470"/>
      <c r="AC51" s="470"/>
      <c r="AD51" s="470"/>
      <c r="AE51" s="470"/>
      <c r="AF51" s="470"/>
      <c r="AG51" s="470"/>
      <c r="AH51" s="470"/>
      <c r="AI51" s="470"/>
      <c r="AJ51" s="470"/>
      <c r="AK51" s="470"/>
      <c r="AL51" s="470"/>
      <c r="AM51" s="470"/>
      <c r="AN51" s="470"/>
      <c r="AO51" s="470"/>
      <c r="AP51" s="470"/>
      <c r="AQ51" s="470"/>
      <c r="AR51" s="470"/>
      <c r="AS51" s="470"/>
      <c r="AT51" s="470"/>
      <c r="AU51" s="217"/>
      <c r="AV51" s="215"/>
    </row>
    <row r="52" spans="1:48" ht="22.5" customHeight="1">
      <c r="A52" s="211"/>
      <c r="B52" s="216"/>
      <c r="C52" s="588" t="s">
        <v>18</v>
      </c>
      <c r="D52" s="589"/>
      <c r="E52" s="589"/>
      <c r="F52" s="229" t="s">
        <v>19</v>
      </c>
      <c r="G52" s="589" t="s">
        <v>233</v>
      </c>
      <c r="H52" s="589"/>
      <c r="I52" s="589"/>
      <c r="J52" s="589"/>
      <c r="K52" s="589"/>
      <c r="L52" s="589"/>
      <c r="M52" s="589"/>
      <c r="N52" s="589"/>
      <c r="O52" s="590" t="s">
        <v>234</v>
      </c>
      <c r="P52" s="590"/>
      <c r="Q52" s="590"/>
      <c r="R52" s="590"/>
      <c r="S52" s="590"/>
      <c r="T52" s="590"/>
      <c r="U52" s="590"/>
      <c r="V52" s="591"/>
      <c r="W52" s="217"/>
      <c r="X52" s="215"/>
      <c r="Y52" s="211"/>
      <c r="Z52" s="216"/>
      <c r="AA52" s="584" t="s">
        <v>18</v>
      </c>
      <c r="AB52" s="585"/>
      <c r="AC52" s="585"/>
      <c r="AD52" s="229" t="s">
        <v>19</v>
      </c>
      <c r="AE52" s="585" t="s">
        <v>233</v>
      </c>
      <c r="AF52" s="585"/>
      <c r="AG52" s="585"/>
      <c r="AH52" s="585"/>
      <c r="AI52" s="585"/>
      <c r="AJ52" s="585"/>
      <c r="AK52" s="585"/>
      <c r="AL52" s="585"/>
      <c r="AM52" s="586" t="s">
        <v>234</v>
      </c>
      <c r="AN52" s="586"/>
      <c r="AO52" s="586"/>
      <c r="AP52" s="586"/>
      <c r="AQ52" s="586"/>
      <c r="AR52" s="586"/>
      <c r="AS52" s="586"/>
      <c r="AT52" s="587"/>
      <c r="AU52" s="217"/>
      <c r="AV52" s="215"/>
    </row>
    <row r="53" spans="1:48" ht="16.5" customHeight="1">
      <c r="A53" s="211"/>
      <c r="B53" s="216"/>
      <c r="C53" s="524" t="str">
        <f>STUDENTS!O4</f>
        <v>ગુજરાતી</v>
      </c>
      <c r="D53" s="534"/>
      <c r="E53" s="525"/>
      <c r="F53" s="539">
        <f ca="1">INDIRECT("STUDENTS!L"&amp;($R$1-1)*12+4)</f>
        <v>0</v>
      </c>
      <c r="G53" s="542">
        <f ca="1">INDIRECT("STUDENTS!M"&amp;($R$1-1)*12+4)</f>
        <v>0</v>
      </c>
      <c r="H53" s="543"/>
      <c r="I53" s="543"/>
      <c r="J53" s="543"/>
      <c r="K53" s="543"/>
      <c r="L53" s="543"/>
      <c r="M53" s="543"/>
      <c r="N53" s="544"/>
      <c r="O53" s="542">
        <f ca="1">INDIRECT("STUDENTS!N"&amp;($R$1-1)*12+4)</f>
        <v>0</v>
      </c>
      <c r="P53" s="543"/>
      <c r="Q53" s="543"/>
      <c r="R53" s="543"/>
      <c r="S53" s="543"/>
      <c r="T53" s="543"/>
      <c r="U53" s="543"/>
      <c r="V53" s="592"/>
      <c r="W53" s="217"/>
      <c r="X53" s="215"/>
      <c r="Y53" s="211"/>
      <c r="Z53" s="216"/>
      <c r="AA53" s="479" t="str">
        <f>C53</f>
        <v>ગુજરાતી</v>
      </c>
      <c r="AB53" s="480"/>
      <c r="AC53" s="480"/>
      <c r="AD53" s="555">
        <f ca="1">INDIRECT("STUDENTS!P"&amp;($R$1-1)*12+4)</f>
        <v>0</v>
      </c>
      <c r="AE53" s="551">
        <f ca="1">INDIRECT("STUDENTS!Q"&amp;($R$1-1)*12+4)</f>
        <v>0</v>
      </c>
      <c r="AF53" s="551"/>
      <c r="AG53" s="551"/>
      <c r="AH53" s="551"/>
      <c r="AI53" s="551"/>
      <c r="AJ53" s="551"/>
      <c r="AK53" s="551"/>
      <c r="AL53" s="551"/>
      <c r="AM53" s="551">
        <f ca="1">INDIRECT("STUDENTS!R"&amp;($R$1-1)*12+4)</f>
        <v>0</v>
      </c>
      <c r="AN53" s="551"/>
      <c r="AO53" s="551"/>
      <c r="AP53" s="551"/>
      <c r="AQ53" s="551"/>
      <c r="AR53" s="551"/>
      <c r="AS53" s="551"/>
      <c r="AT53" s="552"/>
      <c r="AU53" s="217"/>
      <c r="AV53" s="215"/>
    </row>
    <row r="54" spans="1:48" ht="16.5" customHeight="1">
      <c r="A54" s="211"/>
      <c r="B54" s="216"/>
      <c r="C54" s="535"/>
      <c r="D54" s="536"/>
      <c r="E54" s="537"/>
      <c r="F54" s="540"/>
      <c r="G54" s="545"/>
      <c r="H54" s="546"/>
      <c r="I54" s="546"/>
      <c r="J54" s="546"/>
      <c r="K54" s="546"/>
      <c r="L54" s="546"/>
      <c r="M54" s="546"/>
      <c r="N54" s="547"/>
      <c r="O54" s="545"/>
      <c r="P54" s="546"/>
      <c r="Q54" s="546"/>
      <c r="R54" s="546"/>
      <c r="S54" s="546"/>
      <c r="T54" s="546"/>
      <c r="U54" s="546"/>
      <c r="V54" s="593"/>
      <c r="W54" s="217"/>
      <c r="X54" s="215"/>
      <c r="Y54" s="211"/>
      <c r="Z54" s="216"/>
      <c r="AA54" s="479"/>
      <c r="AB54" s="480"/>
      <c r="AC54" s="480"/>
      <c r="AD54" s="555"/>
      <c r="AE54" s="551"/>
      <c r="AF54" s="551"/>
      <c r="AG54" s="551"/>
      <c r="AH54" s="551"/>
      <c r="AI54" s="551"/>
      <c r="AJ54" s="551"/>
      <c r="AK54" s="551"/>
      <c r="AL54" s="551"/>
      <c r="AM54" s="551"/>
      <c r="AN54" s="551"/>
      <c r="AO54" s="551"/>
      <c r="AP54" s="551"/>
      <c r="AQ54" s="551"/>
      <c r="AR54" s="551"/>
      <c r="AS54" s="551"/>
      <c r="AT54" s="552"/>
      <c r="AU54" s="217"/>
      <c r="AV54" s="215"/>
    </row>
    <row r="55" spans="1:48" ht="16.5" customHeight="1">
      <c r="A55" s="211"/>
      <c r="B55" s="216"/>
      <c r="C55" s="535"/>
      <c r="D55" s="536"/>
      <c r="E55" s="537"/>
      <c r="F55" s="540"/>
      <c r="G55" s="545"/>
      <c r="H55" s="546"/>
      <c r="I55" s="546"/>
      <c r="J55" s="546"/>
      <c r="K55" s="546"/>
      <c r="L55" s="546"/>
      <c r="M55" s="546"/>
      <c r="N55" s="547"/>
      <c r="O55" s="545"/>
      <c r="P55" s="546"/>
      <c r="Q55" s="546"/>
      <c r="R55" s="546"/>
      <c r="S55" s="546"/>
      <c r="T55" s="546"/>
      <c r="U55" s="546"/>
      <c r="V55" s="593"/>
      <c r="W55" s="217"/>
      <c r="X55" s="215"/>
      <c r="Y55" s="211"/>
      <c r="Z55" s="216"/>
      <c r="AA55" s="479"/>
      <c r="AB55" s="480"/>
      <c r="AC55" s="480"/>
      <c r="AD55" s="555"/>
      <c r="AE55" s="551"/>
      <c r="AF55" s="551"/>
      <c r="AG55" s="551"/>
      <c r="AH55" s="551"/>
      <c r="AI55" s="551"/>
      <c r="AJ55" s="551"/>
      <c r="AK55" s="551"/>
      <c r="AL55" s="551"/>
      <c r="AM55" s="551"/>
      <c r="AN55" s="551"/>
      <c r="AO55" s="551"/>
      <c r="AP55" s="551"/>
      <c r="AQ55" s="551"/>
      <c r="AR55" s="551"/>
      <c r="AS55" s="551"/>
      <c r="AT55" s="552"/>
      <c r="AU55" s="217"/>
      <c r="AV55" s="215"/>
    </row>
    <row r="56" spans="1:48" ht="16.5" customHeight="1">
      <c r="A56" s="211"/>
      <c r="B56" s="216"/>
      <c r="C56" s="526"/>
      <c r="D56" s="538"/>
      <c r="E56" s="527"/>
      <c r="F56" s="541"/>
      <c r="G56" s="548"/>
      <c r="H56" s="549"/>
      <c r="I56" s="549"/>
      <c r="J56" s="549"/>
      <c r="K56" s="549"/>
      <c r="L56" s="549"/>
      <c r="M56" s="549"/>
      <c r="N56" s="550"/>
      <c r="O56" s="548"/>
      <c r="P56" s="549"/>
      <c r="Q56" s="549"/>
      <c r="R56" s="549"/>
      <c r="S56" s="549"/>
      <c r="T56" s="549"/>
      <c r="U56" s="549"/>
      <c r="V56" s="594"/>
      <c r="W56" s="217"/>
      <c r="X56" s="215"/>
      <c r="Y56" s="211"/>
      <c r="Z56" s="216"/>
      <c r="AA56" s="479"/>
      <c r="AB56" s="480"/>
      <c r="AC56" s="480"/>
      <c r="AD56" s="555"/>
      <c r="AE56" s="551"/>
      <c r="AF56" s="551"/>
      <c r="AG56" s="551"/>
      <c r="AH56" s="551"/>
      <c r="AI56" s="551"/>
      <c r="AJ56" s="551"/>
      <c r="AK56" s="551"/>
      <c r="AL56" s="551"/>
      <c r="AM56" s="551"/>
      <c r="AN56" s="551"/>
      <c r="AO56" s="551"/>
      <c r="AP56" s="551"/>
      <c r="AQ56" s="551"/>
      <c r="AR56" s="551"/>
      <c r="AS56" s="551"/>
      <c r="AT56" s="552"/>
      <c r="AU56" s="217"/>
      <c r="AV56" s="215"/>
    </row>
    <row r="57" spans="1:48" ht="16.5" customHeight="1">
      <c r="A57" s="211"/>
      <c r="B57" s="216"/>
      <c r="C57" s="479" t="str">
        <f>STUDENTS!O5</f>
        <v>ગણિત</v>
      </c>
      <c r="D57" s="480"/>
      <c r="E57" s="480"/>
      <c r="F57" s="555">
        <f ca="1">INDIRECT("STUDENTS!L"&amp;($R$1-1)*12+5)</f>
        <v>0</v>
      </c>
      <c r="G57" s="542">
        <f ca="1">INDIRECT("STUDENTS!M"&amp;($R$1-1)*12+5)</f>
        <v>0</v>
      </c>
      <c r="H57" s="543"/>
      <c r="I57" s="543"/>
      <c r="J57" s="543"/>
      <c r="K57" s="543"/>
      <c r="L57" s="543"/>
      <c r="M57" s="543"/>
      <c r="N57" s="544"/>
      <c r="O57" s="551">
        <f ca="1">INDIRECT("STUDENTS!N"&amp;($R$1-1)*12+5)</f>
        <v>0</v>
      </c>
      <c r="P57" s="551"/>
      <c r="Q57" s="551"/>
      <c r="R57" s="551"/>
      <c r="S57" s="551"/>
      <c r="T57" s="551"/>
      <c r="U57" s="551"/>
      <c r="V57" s="552"/>
      <c r="W57" s="217"/>
      <c r="X57" s="215"/>
      <c r="Y57" s="211"/>
      <c r="Z57" s="216"/>
      <c r="AA57" s="524" t="str">
        <f>C57</f>
        <v>ગણિત</v>
      </c>
      <c r="AB57" s="534"/>
      <c r="AC57" s="525"/>
      <c r="AD57" s="555">
        <f ca="1">INDIRECT("STUDENTS!P"&amp;($R$1-1)*12+5)</f>
        <v>0</v>
      </c>
      <c r="AE57" s="542">
        <f ca="1">INDIRECT("STUDENTS!Q"&amp;($R$1-1)*12+5)</f>
        <v>0</v>
      </c>
      <c r="AF57" s="543"/>
      <c r="AG57" s="543"/>
      <c r="AH57" s="543"/>
      <c r="AI57" s="543"/>
      <c r="AJ57" s="543"/>
      <c r="AK57" s="543"/>
      <c r="AL57" s="544"/>
      <c r="AM57" s="551">
        <f ca="1">INDIRECT("STUDENTS!R"&amp;($R$1-1)*12+5)</f>
        <v>0</v>
      </c>
      <c r="AN57" s="551"/>
      <c r="AO57" s="551"/>
      <c r="AP57" s="551"/>
      <c r="AQ57" s="551"/>
      <c r="AR57" s="551"/>
      <c r="AS57" s="551"/>
      <c r="AT57" s="552"/>
      <c r="AU57" s="217"/>
      <c r="AV57" s="215"/>
    </row>
    <row r="58" spans="1:48" ht="16.5" customHeight="1">
      <c r="A58" s="211"/>
      <c r="B58" s="216"/>
      <c r="C58" s="479"/>
      <c r="D58" s="480"/>
      <c r="E58" s="480"/>
      <c r="F58" s="555"/>
      <c r="G58" s="545"/>
      <c r="H58" s="546"/>
      <c r="I58" s="546"/>
      <c r="J58" s="546"/>
      <c r="K58" s="546"/>
      <c r="L58" s="546"/>
      <c r="M58" s="546"/>
      <c r="N58" s="547"/>
      <c r="O58" s="551"/>
      <c r="P58" s="551"/>
      <c r="Q58" s="551"/>
      <c r="R58" s="551"/>
      <c r="S58" s="551"/>
      <c r="T58" s="551"/>
      <c r="U58" s="551"/>
      <c r="V58" s="552"/>
      <c r="W58" s="217"/>
      <c r="X58" s="215"/>
      <c r="Y58" s="211"/>
      <c r="Z58" s="216"/>
      <c r="AA58" s="535"/>
      <c r="AB58" s="536"/>
      <c r="AC58" s="537"/>
      <c r="AD58" s="555"/>
      <c r="AE58" s="545"/>
      <c r="AF58" s="546"/>
      <c r="AG58" s="546"/>
      <c r="AH58" s="546"/>
      <c r="AI58" s="546"/>
      <c r="AJ58" s="546"/>
      <c r="AK58" s="546"/>
      <c r="AL58" s="547"/>
      <c r="AM58" s="551"/>
      <c r="AN58" s="551"/>
      <c r="AO58" s="551"/>
      <c r="AP58" s="551"/>
      <c r="AQ58" s="551"/>
      <c r="AR58" s="551"/>
      <c r="AS58" s="551"/>
      <c r="AT58" s="552"/>
      <c r="AU58" s="217"/>
      <c r="AV58" s="215"/>
    </row>
    <row r="59" spans="1:48" ht="16.5" customHeight="1">
      <c r="A59" s="211"/>
      <c r="B59" s="216"/>
      <c r="C59" s="479"/>
      <c r="D59" s="480"/>
      <c r="E59" s="480"/>
      <c r="F59" s="555"/>
      <c r="G59" s="545"/>
      <c r="H59" s="546"/>
      <c r="I59" s="546"/>
      <c r="J59" s="546"/>
      <c r="K59" s="546"/>
      <c r="L59" s="546"/>
      <c r="M59" s="546"/>
      <c r="N59" s="547"/>
      <c r="O59" s="551"/>
      <c r="P59" s="551"/>
      <c r="Q59" s="551"/>
      <c r="R59" s="551"/>
      <c r="S59" s="551"/>
      <c r="T59" s="551"/>
      <c r="U59" s="551"/>
      <c r="V59" s="552"/>
      <c r="W59" s="217"/>
      <c r="X59" s="215"/>
      <c r="Y59" s="211"/>
      <c r="Z59" s="216"/>
      <c r="AA59" s="535"/>
      <c r="AB59" s="536"/>
      <c r="AC59" s="537"/>
      <c r="AD59" s="555"/>
      <c r="AE59" s="545"/>
      <c r="AF59" s="546"/>
      <c r="AG59" s="546"/>
      <c r="AH59" s="546"/>
      <c r="AI59" s="546"/>
      <c r="AJ59" s="546"/>
      <c r="AK59" s="546"/>
      <c r="AL59" s="547"/>
      <c r="AM59" s="551"/>
      <c r="AN59" s="551"/>
      <c r="AO59" s="551"/>
      <c r="AP59" s="551"/>
      <c r="AQ59" s="551"/>
      <c r="AR59" s="551"/>
      <c r="AS59" s="551"/>
      <c r="AT59" s="552"/>
      <c r="AU59" s="217"/>
      <c r="AV59" s="215"/>
    </row>
    <row r="60" spans="1:48" ht="16.5" customHeight="1">
      <c r="A60" s="211"/>
      <c r="B60" s="216"/>
      <c r="C60" s="479"/>
      <c r="D60" s="480"/>
      <c r="E60" s="480"/>
      <c r="F60" s="555"/>
      <c r="G60" s="548"/>
      <c r="H60" s="549"/>
      <c r="I60" s="549"/>
      <c r="J60" s="549"/>
      <c r="K60" s="549"/>
      <c r="L60" s="549"/>
      <c r="M60" s="549"/>
      <c r="N60" s="550"/>
      <c r="O60" s="551"/>
      <c r="P60" s="551"/>
      <c r="Q60" s="551"/>
      <c r="R60" s="551"/>
      <c r="S60" s="551"/>
      <c r="T60" s="551"/>
      <c r="U60" s="551"/>
      <c r="V60" s="552"/>
      <c r="W60" s="217"/>
      <c r="X60" s="215"/>
      <c r="Y60" s="211"/>
      <c r="Z60" s="216"/>
      <c r="AA60" s="526"/>
      <c r="AB60" s="538"/>
      <c r="AC60" s="527"/>
      <c r="AD60" s="555"/>
      <c r="AE60" s="548"/>
      <c r="AF60" s="549"/>
      <c r="AG60" s="549"/>
      <c r="AH60" s="549"/>
      <c r="AI60" s="549"/>
      <c r="AJ60" s="549"/>
      <c r="AK60" s="549"/>
      <c r="AL60" s="550"/>
      <c r="AM60" s="551"/>
      <c r="AN60" s="551"/>
      <c r="AO60" s="551"/>
      <c r="AP60" s="551"/>
      <c r="AQ60" s="551"/>
      <c r="AR60" s="551"/>
      <c r="AS60" s="551"/>
      <c r="AT60" s="552"/>
      <c r="AU60" s="217"/>
      <c r="AV60" s="215"/>
    </row>
    <row r="61" spans="1:48" ht="16.5" customHeight="1">
      <c r="A61" s="211"/>
      <c r="B61" s="216"/>
      <c r="C61" s="479" t="str">
        <f>STUDENTS!O6</f>
        <v>હિન્દી</v>
      </c>
      <c r="D61" s="480"/>
      <c r="E61" s="480"/>
      <c r="F61" s="555">
        <f ca="1">INDIRECT("STUDENTS!L"&amp;($R$1-1)*12+6)</f>
        <v>0</v>
      </c>
      <c r="G61" s="542">
        <f ca="1">INDIRECT("STUDENTS!M"&amp;($R$1-1)*12+6)</f>
        <v>0</v>
      </c>
      <c r="H61" s="543"/>
      <c r="I61" s="543"/>
      <c r="J61" s="543"/>
      <c r="K61" s="543"/>
      <c r="L61" s="543"/>
      <c r="M61" s="543"/>
      <c r="N61" s="544"/>
      <c r="O61" s="551">
        <f ca="1">INDIRECT("STUDENTS!N"&amp;($R$1-1)*12+6)</f>
        <v>0</v>
      </c>
      <c r="P61" s="551"/>
      <c r="Q61" s="551"/>
      <c r="R61" s="551"/>
      <c r="S61" s="551"/>
      <c r="T61" s="551"/>
      <c r="U61" s="551"/>
      <c r="V61" s="552"/>
      <c r="W61" s="217"/>
      <c r="X61" s="215"/>
      <c r="Y61" s="211"/>
      <c r="Z61" s="216"/>
      <c r="AA61" s="524" t="str">
        <f>C61</f>
        <v>હિન્દી</v>
      </c>
      <c r="AB61" s="534"/>
      <c r="AC61" s="525"/>
      <c r="AD61" s="555">
        <f ca="1">INDIRECT("STUDENTS!P"&amp;($R$1-1)*12+6)</f>
        <v>0</v>
      </c>
      <c r="AE61" s="542">
        <f ca="1">INDIRECT("STUDENTS!Q"&amp;($R$1-1)*12+6)</f>
        <v>0</v>
      </c>
      <c r="AF61" s="543"/>
      <c r="AG61" s="543"/>
      <c r="AH61" s="543"/>
      <c r="AI61" s="543"/>
      <c r="AJ61" s="543"/>
      <c r="AK61" s="543"/>
      <c r="AL61" s="544"/>
      <c r="AM61" s="551">
        <f ca="1">INDIRECT("STUDENTS!R"&amp;($R$1-1)*12+6)</f>
        <v>0</v>
      </c>
      <c r="AN61" s="551"/>
      <c r="AO61" s="551"/>
      <c r="AP61" s="551"/>
      <c r="AQ61" s="551"/>
      <c r="AR61" s="551"/>
      <c r="AS61" s="551"/>
      <c r="AT61" s="552"/>
      <c r="AU61" s="217"/>
      <c r="AV61" s="215"/>
    </row>
    <row r="62" spans="1:48" ht="16.5" customHeight="1">
      <c r="A62" s="211"/>
      <c r="B62" s="216"/>
      <c r="C62" s="479"/>
      <c r="D62" s="480"/>
      <c r="E62" s="480"/>
      <c r="F62" s="555"/>
      <c r="G62" s="545"/>
      <c r="H62" s="546"/>
      <c r="I62" s="546"/>
      <c r="J62" s="546"/>
      <c r="K62" s="546"/>
      <c r="L62" s="546"/>
      <c r="M62" s="546"/>
      <c r="N62" s="547"/>
      <c r="O62" s="551"/>
      <c r="P62" s="551"/>
      <c r="Q62" s="551"/>
      <c r="R62" s="551"/>
      <c r="S62" s="551"/>
      <c r="T62" s="551"/>
      <c r="U62" s="551"/>
      <c r="V62" s="552"/>
      <c r="W62" s="217"/>
      <c r="X62" s="215"/>
      <c r="Y62" s="211"/>
      <c r="Z62" s="216"/>
      <c r="AA62" s="535"/>
      <c r="AB62" s="536"/>
      <c r="AC62" s="537"/>
      <c r="AD62" s="555"/>
      <c r="AE62" s="545"/>
      <c r="AF62" s="546"/>
      <c r="AG62" s="546"/>
      <c r="AH62" s="546"/>
      <c r="AI62" s="546"/>
      <c r="AJ62" s="546"/>
      <c r="AK62" s="546"/>
      <c r="AL62" s="547"/>
      <c r="AM62" s="551"/>
      <c r="AN62" s="551"/>
      <c r="AO62" s="551"/>
      <c r="AP62" s="551"/>
      <c r="AQ62" s="551"/>
      <c r="AR62" s="551"/>
      <c r="AS62" s="551"/>
      <c r="AT62" s="552"/>
      <c r="AU62" s="217"/>
      <c r="AV62" s="215"/>
    </row>
    <row r="63" spans="1:48" ht="16.5" customHeight="1">
      <c r="A63" s="211"/>
      <c r="B63" s="216"/>
      <c r="C63" s="479"/>
      <c r="D63" s="480"/>
      <c r="E63" s="480"/>
      <c r="F63" s="555"/>
      <c r="G63" s="545"/>
      <c r="H63" s="546"/>
      <c r="I63" s="546"/>
      <c r="J63" s="546"/>
      <c r="K63" s="546"/>
      <c r="L63" s="546"/>
      <c r="M63" s="546"/>
      <c r="N63" s="547"/>
      <c r="O63" s="551"/>
      <c r="P63" s="551"/>
      <c r="Q63" s="551"/>
      <c r="R63" s="551"/>
      <c r="S63" s="551"/>
      <c r="T63" s="551"/>
      <c r="U63" s="551"/>
      <c r="V63" s="552"/>
      <c r="W63" s="217"/>
      <c r="X63" s="215"/>
      <c r="Y63" s="211"/>
      <c r="Z63" s="216"/>
      <c r="AA63" s="535"/>
      <c r="AB63" s="536"/>
      <c r="AC63" s="537"/>
      <c r="AD63" s="555"/>
      <c r="AE63" s="545"/>
      <c r="AF63" s="546"/>
      <c r="AG63" s="546"/>
      <c r="AH63" s="546"/>
      <c r="AI63" s="546"/>
      <c r="AJ63" s="546"/>
      <c r="AK63" s="546"/>
      <c r="AL63" s="547"/>
      <c r="AM63" s="551"/>
      <c r="AN63" s="551"/>
      <c r="AO63" s="551"/>
      <c r="AP63" s="551"/>
      <c r="AQ63" s="551"/>
      <c r="AR63" s="551"/>
      <c r="AS63" s="551"/>
      <c r="AT63" s="552"/>
      <c r="AU63" s="217"/>
      <c r="AV63" s="215"/>
    </row>
    <row r="64" spans="1:48" ht="16.5" customHeight="1">
      <c r="A64" s="211"/>
      <c r="B64" s="216"/>
      <c r="C64" s="479"/>
      <c r="D64" s="480"/>
      <c r="E64" s="480"/>
      <c r="F64" s="555"/>
      <c r="G64" s="548"/>
      <c r="H64" s="549"/>
      <c r="I64" s="549"/>
      <c r="J64" s="549"/>
      <c r="K64" s="549"/>
      <c r="L64" s="549"/>
      <c r="M64" s="549"/>
      <c r="N64" s="550"/>
      <c r="O64" s="551"/>
      <c r="P64" s="551"/>
      <c r="Q64" s="551"/>
      <c r="R64" s="551"/>
      <c r="S64" s="551"/>
      <c r="T64" s="551"/>
      <c r="U64" s="551"/>
      <c r="V64" s="552"/>
      <c r="W64" s="217"/>
      <c r="X64" s="215"/>
      <c r="Y64" s="211"/>
      <c r="Z64" s="216"/>
      <c r="AA64" s="526"/>
      <c r="AB64" s="538"/>
      <c r="AC64" s="527"/>
      <c r="AD64" s="555"/>
      <c r="AE64" s="548"/>
      <c r="AF64" s="549"/>
      <c r="AG64" s="549"/>
      <c r="AH64" s="549"/>
      <c r="AI64" s="549"/>
      <c r="AJ64" s="549"/>
      <c r="AK64" s="549"/>
      <c r="AL64" s="550"/>
      <c r="AM64" s="551"/>
      <c r="AN64" s="551"/>
      <c r="AO64" s="551"/>
      <c r="AP64" s="551"/>
      <c r="AQ64" s="551"/>
      <c r="AR64" s="551"/>
      <c r="AS64" s="551"/>
      <c r="AT64" s="552"/>
      <c r="AU64" s="217"/>
      <c r="AV64" s="215"/>
    </row>
    <row r="65" spans="1:48" ht="16.5" customHeight="1">
      <c r="A65" s="211"/>
      <c r="B65" s="216"/>
      <c r="C65" s="524" t="str">
        <f>STUDENTS!O7</f>
        <v>અંગ્રેજી</v>
      </c>
      <c r="D65" s="534"/>
      <c r="E65" s="525"/>
      <c r="F65" s="555">
        <f ca="1">INDIRECT("STUDENTS!L"&amp;($R$1-1)*12+7)</f>
        <v>0</v>
      </c>
      <c r="G65" s="542">
        <f ca="1">INDIRECT("STUDENTS!M"&amp;($R$1-1)*12+7)</f>
        <v>0</v>
      </c>
      <c r="H65" s="543"/>
      <c r="I65" s="543"/>
      <c r="J65" s="543"/>
      <c r="K65" s="543"/>
      <c r="L65" s="543"/>
      <c r="M65" s="543"/>
      <c r="N65" s="544"/>
      <c r="O65" s="551">
        <f ca="1">INDIRECT("STUDENTS!N"&amp;($R$1-1)*12+7)</f>
        <v>0</v>
      </c>
      <c r="P65" s="551"/>
      <c r="Q65" s="551"/>
      <c r="R65" s="551"/>
      <c r="S65" s="551"/>
      <c r="T65" s="551"/>
      <c r="U65" s="551"/>
      <c r="V65" s="552"/>
      <c r="W65" s="217"/>
      <c r="X65" s="215"/>
      <c r="Y65" s="211"/>
      <c r="Z65" s="216"/>
      <c r="AA65" s="524" t="str">
        <f>C65</f>
        <v>અંગ્રેજી</v>
      </c>
      <c r="AB65" s="534"/>
      <c r="AC65" s="525"/>
      <c r="AD65" s="555">
        <f ca="1">INDIRECT("STUDENTS!P"&amp;($R$1-1)*12+7)</f>
        <v>0</v>
      </c>
      <c r="AE65" s="542">
        <f ca="1">INDIRECT("STUDENTS!Q"&amp;($R$1-1)*12+7)</f>
        <v>0</v>
      </c>
      <c r="AF65" s="543"/>
      <c r="AG65" s="543"/>
      <c r="AH65" s="543"/>
      <c r="AI65" s="543"/>
      <c r="AJ65" s="543"/>
      <c r="AK65" s="543"/>
      <c r="AL65" s="544"/>
      <c r="AM65" s="551">
        <f ca="1">INDIRECT("STUDENTS!R"&amp;($R$1-1)*12+7)</f>
        <v>0</v>
      </c>
      <c r="AN65" s="551"/>
      <c r="AO65" s="551"/>
      <c r="AP65" s="551"/>
      <c r="AQ65" s="551"/>
      <c r="AR65" s="551"/>
      <c r="AS65" s="551"/>
      <c r="AT65" s="552"/>
      <c r="AU65" s="217"/>
      <c r="AV65" s="215"/>
    </row>
    <row r="66" spans="1:48" ht="16.5" customHeight="1">
      <c r="A66" s="211"/>
      <c r="B66" s="216"/>
      <c r="C66" s="535"/>
      <c r="D66" s="536"/>
      <c r="E66" s="537"/>
      <c r="F66" s="555"/>
      <c r="G66" s="545"/>
      <c r="H66" s="546"/>
      <c r="I66" s="546"/>
      <c r="J66" s="546"/>
      <c r="K66" s="546"/>
      <c r="L66" s="546"/>
      <c r="M66" s="546"/>
      <c r="N66" s="547"/>
      <c r="O66" s="551"/>
      <c r="P66" s="551"/>
      <c r="Q66" s="551"/>
      <c r="R66" s="551"/>
      <c r="S66" s="551"/>
      <c r="T66" s="551"/>
      <c r="U66" s="551"/>
      <c r="V66" s="552"/>
      <c r="W66" s="217"/>
      <c r="X66" s="215"/>
      <c r="Y66" s="211"/>
      <c r="Z66" s="216"/>
      <c r="AA66" s="535"/>
      <c r="AB66" s="536"/>
      <c r="AC66" s="537"/>
      <c r="AD66" s="555"/>
      <c r="AE66" s="545"/>
      <c r="AF66" s="546"/>
      <c r="AG66" s="546"/>
      <c r="AH66" s="546"/>
      <c r="AI66" s="546"/>
      <c r="AJ66" s="546"/>
      <c r="AK66" s="546"/>
      <c r="AL66" s="547"/>
      <c r="AM66" s="551"/>
      <c r="AN66" s="551"/>
      <c r="AO66" s="551"/>
      <c r="AP66" s="551"/>
      <c r="AQ66" s="551"/>
      <c r="AR66" s="551"/>
      <c r="AS66" s="551"/>
      <c r="AT66" s="552"/>
      <c r="AU66" s="217"/>
      <c r="AV66" s="215"/>
    </row>
    <row r="67" spans="1:48" ht="16.5" customHeight="1">
      <c r="A67" s="211"/>
      <c r="B67" s="216"/>
      <c r="C67" s="535"/>
      <c r="D67" s="536"/>
      <c r="E67" s="537"/>
      <c r="F67" s="555"/>
      <c r="G67" s="545"/>
      <c r="H67" s="546"/>
      <c r="I67" s="546"/>
      <c r="J67" s="546"/>
      <c r="K67" s="546"/>
      <c r="L67" s="546"/>
      <c r="M67" s="546"/>
      <c r="N67" s="547"/>
      <c r="O67" s="551"/>
      <c r="P67" s="551"/>
      <c r="Q67" s="551"/>
      <c r="R67" s="551"/>
      <c r="S67" s="551"/>
      <c r="T67" s="551"/>
      <c r="U67" s="551"/>
      <c r="V67" s="552"/>
      <c r="W67" s="217"/>
      <c r="X67" s="215"/>
      <c r="Y67" s="211"/>
      <c r="Z67" s="216"/>
      <c r="AA67" s="535"/>
      <c r="AB67" s="536"/>
      <c r="AC67" s="537"/>
      <c r="AD67" s="555"/>
      <c r="AE67" s="545"/>
      <c r="AF67" s="546"/>
      <c r="AG67" s="546"/>
      <c r="AH67" s="546"/>
      <c r="AI67" s="546"/>
      <c r="AJ67" s="546"/>
      <c r="AK67" s="546"/>
      <c r="AL67" s="547"/>
      <c r="AM67" s="551"/>
      <c r="AN67" s="551"/>
      <c r="AO67" s="551"/>
      <c r="AP67" s="551"/>
      <c r="AQ67" s="551"/>
      <c r="AR67" s="551"/>
      <c r="AS67" s="551"/>
      <c r="AT67" s="552"/>
      <c r="AU67" s="217"/>
      <c r="AV67" s="215"/>
    </row>
    <row r="68" spans="1:48" ht="16.5" customHeight="1">
      <c r="A68" s="211"/>
      <c r="B68" s="216"/>
      <c r="C68" s="526"/>
      <c r="D68" s="538"/>
      <c r="E68" s="527"/>
      <c r="F68" s="555"/>
      <c r="G68" s="548"/>
      <c r="H68" s="549"/>
      <c r="I68" s="549"/>
      <c r="J68" s="549"/>
      <c r="K68" s="549"/>
      <c r="L68" s="549"/>
      <c r="M68" s="549"/>
      <c r="N68" s="550"/>
      <c r="O68" s="551"/>
      <c r="P68" s="551"/>
      <c r="Q68" s="551"/>
      <c r="R68" s="551"/>
      <c r="S68" s="551"/>
      <c r="T68" s="551"/>
      <c r="U68" s="551"/>
      <c r="V68" s="552"/>
      <c r="W68" s="217"/>
      <c r="X68" s="215"/>
      <c r="Y68" s="211"/>
      <c r="Z68" s="216"/>
      <c r="AA68" s="526"/>
      <c r="AB68" s="538"/>
      <c r="AC68" s="527"/>
      <c r="AD68" s="555"/>
      <c r="AE68" s="548"/>
      <c r="AF68" s="549"/>
      <c r="AG68" s="549"/>
      <c r="AH68" s="549"/>
      <c r="AI68" s="549"/>
      <c r="AJ68" s="549"/>
      <c r="AK68" s="549"/>
      <c r="AL68" s="550"/>
      <c r="AM68" s="551"/>
      <c r="AN68" s="551"/>
      <c r="AO68" s="551"/>
      <c r="AP68" s="551"/>
      <c r="AQ68" s="551"/>
      <c r="AR68" s="551"/>
      <c r="AS68" s="551"/>
      <c r="AT68" s="552"/>
      <c r="AU68" s="217"/>
      <c r="AV68" s="215"/>
    </row>
    <row r="69" spans="1:48" ht="16.5" customHeight="1">
      <c r="A69" s="211"/>
      <c r="B69" s="216"/>
      <c r="C69" s="479" t="str">
        <f>STUDENTS!O8</f>
        <v>સા. વિ.</v>
      </c>
      <c r="D69" s="480"/>
      <c r="E69" s="480"/>
      <c r="F69" s="555">
        <f ca="1">INDIRECT("STUDENTS!L"&amp;($R$1-1)*12+8)</f>
        <v>0</v>
      </c>
      <c r="G69" s="542">
        <f ca="1">INDIRECT("STUDENTS!M"&amp;($R$1-1)*12+8)</f>
        <v>0</v>
      </c>
      <c r="H69" s="543"/>
      <c r="I69" s="543"/>
      <c r="J69" s="543"/>
      <c r="K69" s="543"/>
      <c r="L69" s="543"/>
      <c r="M69" s="543"/>
      <c r="N69" s="544"/>
      <c r="O69" s="551">
        <f ca="1">INDIRECT("STUDENTS!N"&amp;($R$1-1)*12+8)</f>
        <v>0</v>
      </c>
      <c r="P69" s="551"/>
      <c r="Q69" s="551"/>
      <c r="R69" s="551"/>
      <c r="S69" s="551"/>
      <c r="T69" s="551"/>
      <c r="U69" s="551"/>
      <c r="V69" s="552"/>
      <c r="W69" s="217"/>
      <c r="X69" s="215"/>
      <c r="Y69" s="211"/>
      <c r="Z69" s="216"/>
      <c r="AA69" s="524" t="str">
        <f>C69</f>
        <v>સા. વિ.</v>
      </c>
      <c r="AB69" s="534"/>
      <c r="AC69" s="525"/>
      <c r="AD69" s="555">
        <f ca="1">INDIRECT("STUDENTS!P"&amp;($R$1-1)*12+8)</f>
        <v>0</v>
      </c>
      <c r="AE69" s="542">
        <f ca="1">INDIRECT("STUDENTS!Q"&amp;($R$1-1)*12+8)</f>
        <v>0</v>
      </c>
      <c r="AF69" s="543"/>
      <c r="AG69" s="543"/>
      <c r="AH69" s="543"/>
      <c r="AI69" s="543"/>
      <c r="AJ69" s="543"/>
      <c r="AK69" s="543"/>
      <c r="AL69" s="544"/>
      <c r="AM69" s="551">
        <f ca="1">INDIRECT("STUDENTS!R"&amp;($R$1-1)*12+8)</f>
        <v>0</v>
      </c>
      <c r="AN69" s="551"/>
      <c r="AO69" s="551"/>
      <c r="AP69" s="551"/>
      <c r="AQ69" s="551"/>
      <c r="AR69" s="551"/>
      <c r="AS69" s="551"/>
      <c r="AT69" s="552"/>
      <c r="AU69" s="217"/>
      <c r="AV69" s="215"/>
    </row>
    <row r="70" spans="1:48" ht="16.5" customHeight="1">
      <c r="A70" s="211"/>
      <c r="B70" s="216"/>
      <c r="C70" s="479"/>
      <c r="D70" s="480"/>
      <c r="E70" s="480"/>
      <c r="F70" s="555"/>
      <c r="G70" s="545"/>
      <c r="H70" s="546"/>
      <c r="I70" s="546"/>
      <c r="J70" s="546"/>
      <c r="K70" s="546"/>
      <c r="L70" s="546"/>
      <c r="M70" s="546"/>
      <c r="N70" s="547"/>
      <c r="O70" s="551"/>
      <c r="P70" s="551"/>
      <c r="Q70" s="551"/>
      <c r="R70" s="551"/>
      <c r="S70" s="551"/>
      <c r="T70" s="551"/>
      <c r="U70" s="551"/>
      <c r="V70" s="552"/>
      <c r="W70" s="217"/>
      <c r="X70" s="215"/>
      <c r="Y70" s="211"/>
      <c r="Z70" s="216"/>
      <c r="AA70" s="535"/>
      <c r="AB70" s="536"/>
      <c r="AC70" s="537"/>
      <c r="AD70" s="555"/>
      <c r="AE70" s="545"/>
      <c r="AF70" s="546"/>
      <c r="AG70" s="546"/>
      <c r="AH70" s="546"/>
      <c r="AI70" s="546"/>
      <c r="AJ70" s="546"/>
      <c r="AK70" s="546"/>
      <c r="AL70" s="547"/>
      <c r="AM70" s="551"/>
      <c r="AN70" s="551"/>
      <c r="AO70" s="551"/>
      <c r="AP70" s="551"/>
      <c r="AQ70" s="551"/>
      <c r="AR70" s="551"/>
      <c r="AS70" s="551"/>
      <c r="AT70" s="552"/>
      <c r="AU70" s="217"/>
      <c r="AV70" s="215"/>
    </row>
    <row r="71" spans="1:48" ht="16.5" customHeight="1">
      <c r="A71" s="211"/>
      <c r="B71" s="216"/>
      <c r="C71" s="479"/>
      <c r="D71" s="480"/>
      <c r="E71" s="480"/>
      <c r="F71" s="555"/>
      <c r="G71" s="545"/>
      <c r="H71" s="546"/>
      <c r="I71" s="546"/>
      <c r="J71" s="546"/>
      <c r="K71" s="546"/>
      <c r="L71" s="546"/>
      <c r="M71" s="546"/>
      <c r="N71" s="547"/>
      <c r="O71" s="551"/>
      <c r="P71" s="551"/>
      <c r="Q71" s="551"/>
      <c r="R71" s="551"/>
      <c r="S71" s="551"/>
      <c r="T71" s="551"/>
      <c r="U71" s="551"/>
      <c r="V71" s="552"/>
      <c r="W71" s="217"/>
      <c r="X71" s="215"/>
      <c r="Y71" s="211"/>
      <c r="Z71" s="216"/>
      <c r="AA71" s="535"/>
      <c r="AB71" s="536"/>
      <c r="AC71" s="537"/>
      <c r="AD71" s="555"/>
      <c r="AE71" s="545"/>
      <c r="AF71" s="546"/>
      <c r="AG71" s="546"/>
      <c r="AH71" s="546"/>
      <c r="AI71" s="546"/>
      <c r="AJ71" s="546"/>
      <c r="AK71" s="546"/>
      <c r="AL71" s="547"/>
      <c r="AM71" s="551"/>
      <c r="AN71" s="551"/>
      <c r="AO71" s="551"/>
      <c r="AP71" s="551"/>
      <c r="AQ71" s="551"/>
      <c r="AR71" s="551"/>
      <c r="AS71" s="551"/>
      <c r="AT71" s="552"/>
      <c r="AU71" s="217"/>
      <c r="AV71" s="215"/>
    </row>
    <row r="72" spans="1:48" ht="16.5" customHeight="1">
      <c r="A72" s="211"/>
      <c r="B72" s="216"/>
      <c r="C72" s="479"/>
      <c r="D72" s="480"/>
      <c r="E72" s="480"/>
      <c r="F72" s="555"/>
      <c r="G72" s="548"/>
      <c r="H72" s="549"/>
      <c r="I72" s="549"/>
      <c r="J72" s="549"/>
      <c r="K72" s="549"/>
      <c r="L72" s="549"/>
      <c r="M72" s="549"/>
      <c r="N72" s="550"/>
      <c r="O72" s="551"/>
      <c r="P72" s="551"/>
      <c r="Q72" s="551"/>
      <c r="R72" s="551"/>
      <c r="S72" s="551"/>
      <c r="T72" s="551"/>
      <c r="U72" s="551"/>
      <c r="V72" s="552"/>
      <c r="W72" s="217"/>
      <c r="X72" s="215"/>
      <c r="Y72" s="211"/>
      <c r="Z72" s="216"/>
      <c r="AA72" s="526"/>
      <c r="AB72" s="538"/>
      <c r="AC72" s="527"/>
      <c r="AD72" s="555"/>
      <c r="AE72" s="548"/>
      <c r="AF72" s="549"/>
      <c r="AG72" s="549"/>
      <c r="AH72" s="549"/>
      <c r="AI72" s="549"/>
      <c r="AJ72" s="549"/>
      <c r="AK72" s="549"/>
      <c r="AL72" s="550"/>
      <c r="AM72" s="551"/>
      <c r="AN72" s="551"/>
      <c r="AO72" s="551"/>
      <c r="AP72" s="551"/>
      <c r="AQ72" s="551"/>
      <c r="AR72" s="551"/>
      <c r="AS72" s="551"/>
      <c r="AT72" s="552"/>
      <c r="AU72" s="217"/>
      <c r="AV72" s="215"/>
    </row>
    <row r="73" spans="1:48" ht="16.5" customHeight="1">
      <c r="A73" s="211"/>
      <c r="B73" s="216"/>
      <c r="C73" s="479" t="str">
        <f>STUDENTS!O9</f>
        <v>વિ. અને ટેક્.</v>
      </c>
      <c r="D73" s="480"/>
      <c r="E73" s="480"/>
      <c r="F73" s="555">
        <f ca="1">INDIRECT("STUDENTS!L"&amp;($R$1-1)*12+9)</f>
        <v>0</v>
      </c>
      <c r="G73" s="542">
        <f ca="1">INDIRECT("STUDENTS!M"&amp;($R$1-1)*12+9)</f>
        <v>0</v>
      </c>
      <c r="H73" s="543"/>
      <c r="I73" s="543"/>
      <c r="J73" s="543"/>
      <c r="K73" s="543"/>
      <c r="L73" s="543"/>
      <c r="M73" s="543"/>
      <c r="N73" s="544"/>
      <c r="O73" s="551">
        <f ca="1">INDIRECT("STUDENTS!N"&amp;($R$1-1)*12+9)</f>
        <v>0</v>
      </c>
      <c r="P73" s="551"/>
      <c r="Q73" s="551"/>
      <c r="R73" s="551"/>
      <c r="S73" s="551"/>
      <c r="T73" s="551"/>
      <c r="U73" s="551"/>
      <c r="V73" s="552"/>
      <c r="W73" s="217"/>
      <c r="X73" s="215"/>
      <c r="Y73" s="211"/>
      <c r="Z73" s="216"/>
      <c r="AA73" s="524" t="str">
        <f>C73</f>
        <v>વિ. અને ટેક્.</v>
      </c>
      <c r="AB73" s="534"/>
      <c r="AC73" s="525"/>
      <c r="AD73" s="555">
        <f ca="1">INDIRECT("STUDENTS!P"&amp;($R$1-1)*12+9)</f>
        <v>0</v>
      </c>
      <c r="AE73" s="542">
        <f ca="1">INDIRECT("STUDENTS!Q"&amp;($R$1-1)*12+9)</f>
        <v>0</v>
      </c>
      <c r="AF73" s="543"/>
      <c r="AG73" s="543"/>
      <c r="AH73" s="543"/>
      <c r="AI73" s="543"/>
      <c r="AJ73" s="543"/>
      <c r="AK73" s="543"/>
      <c r="AL73" s="544"/>
      <c r="AM73" s="551">
        <f ca="1">INDIRECT("STUDENTS!R"&amp;($R$1-1)*12+9)</f>
        <v>0</v>
      </c>
      <c r="AN73" s="551"/>
      <c r="AO73" s="551"/>
      <c r="AP73" s="551"/>
      <c r="AQ73" s="551"/>
      <c r="AR73" s="551"/>
      <c r="AS73" s="551"/>
      <c r="AT73" s="552"/>
      <c r="AU73" s="217"/>
      <c r="AV73" s="215"/>
    </row>
    <row r="74" spans="1:48" ht="16.5" customHeight="1">
      <c r="A74" s="211"/>
      <c r="B74" s="216"/>
      <c r="C74" s="479"/>
      <c r="D74" s="480"/>
      <c r="E74" s="480"/>
      <c r="F74" s="555"/>
      <c r="G74" s="545"/>
      <c r="H74" s="546"/>
      <c r="I74" s="546"/>
      <c r="J74" s="546"/>
      <c r="K74" s="546"/>
      <c r="L74" s="546"/>
      <c r="M74" s="546"/>
      <c r="N74" s="547"/>
      <c r="O74" s="551"/>
      <c r="P74" s="551"/>
      <c r="Q74" s="551"/>
      <c r="R74" s="551"/>
      <c r="S74" s="551"/>
      <c r="T74" s="551"/>
      <c r="U74" s="551"/>
      <c r="V74" s="552"/>
      <c r="W74" s="217"/>
      <c r="X74" s="215"/>
      <c r="Y74" s="211"/>
      <c r="Z74" s="216"/>
      <c r="AA74" s="535"/>
      <c r="AB74" s="536"/>
      <c r="AC74" s="537"/>
      <c r="AD74" s="555"/>
      <c r="AE74" s="545"/>
      <c r="AF74" s="546"/>
      <c r="AG74" s="546"/>
      <c r="AH74" s="546"/>
      <c r="AI74" s="546"/>
      <c r="AJ74" s="546"/>
      <c r="AK74" s="546"/>
      <c r="AL74" s="547"/>
      <c r="AM74" s="551"/>
      <c r="AN74" s="551"/>
      <c r="AO74" s="551"/>
      <c r="AP74" s="551"/>
      <c r="AQ74" s="551"/>
      <c r="AR74" s="551"/>
      <c r="AS74" s="551"/>
      <c r="AT74" s="552"/>
      <c r="AU74" s="217"/>
      <c r="AV74" s="215"/>
    </row>
    <row r="75" spans="1:48" ht="16.5" customHeight="1">
      <c r="A75" s="211"/>
      <c r="B75" s="216"/>
      <c r="C75" s="479"/>
      <c r="D75" s="480"/>
      <c r="E75" s="480"/>
      <c r="F75" s="555"/>
      <c r="G75" s="545"/>
      <c r="H75" s="546"/>
      <c r="I75" s="546"/>
      <c r="J75" s="546"/>
      <c r="K75" s="546"/>
      <c r="L75" s="546"/>
      <c r="M75" s="546"/>
      <c r="N75" s="547"/>
      <c r="O75" s="551"/>
      <c r="P75" s="551"/>
      <c r="Q75" s="551"/>
      <c r="R75" s="551"/>
      <c r="S75" s="551"/>
      <c r="T75" s="551"/>
      <c r="U75" s="551"/>
      <c r="V75" s="552"/>
      <c r="W75" s="217"/>
      <c r="X75" s="215"/>
      <c r="Y75" s="211"/>
      <c r="Z75" s="216"/>
      <c r="AA75" s="535"/>
      <c r="AB75" s="536"/>
      <c r="AC75" s="537"/>
      <c r="AD75" s="555"/>
      <c r="AE75" s="545"/>
      <c r="AF75" s="546"/>
      <c r="AG75" s="546"/>
      <c r="AH75" s="546"/>
      <c r="AI75" s="546"/>
      <c r="AJ75" s="546"/>
      <c r="AK75" s="546"/>
      <c r="AL75" s="547"/>
      <c r="AM75" s="551"/>
      <c r="AN75" s="551"/>
      <c r="AO75" s="551"/>
      <c r="AP75" s="551"/>
      <c r="AQ75" s="551"/>
      <c r="AR75" s="551"/>
      <c r="AS75" s="551"/>
      <c r="AT75" s="552"/>
      <c r="AU75" s="217"/>
      <c r="AV75" s="215"/>
    </row>
    <row r="76" spans="1:48" ht="16.5" customHeight="1">
      <c r="A76" s="211"/>
      <c r="B76" s="216"/>
      <c r="C76" s="479"/>
      <c r="D76" s="480"/>
      <c r="E76" s="480"/>
      <c r="F76" s="555"/>
      <c r="G76" s="548"/>
      <c r="H76" s="549"/>
      <c r="I76" s="549"/>
      <c r="J76" s="549"/>
      <c r="K76" s="549"/>
      <c r="L76" s="549"/>
      <c r="M76" s="549"/>
      <c r="N76" s="550"/>
      <c r="O76" s="551"/>
      <c r="P76" s="551"/>
      <c r="Q76" s="551"/>
      <c r="R76" s="551"/>
      <c r="S76" s="551"/>
      <c r="T76" s="551"/>
      <c r="U76" s="551"/>
      <c r="V76" s="552"/>
      <c r="W76" s="217"/>
      <c r="X76" s="215"/>
      <c r="Y76" s="211"/>
      <c r="Z76" s="216"/>
      <c r="AA76" s="526"/>
      <c r="AB76" s="538"/>
      <c r="AC76" s="527"/>
      <c r="AD76" s="555"/>
      <c r="AE76" s="548"/>
      <c r="AF76" s="549"/>
      <c r="AG76" s="549"/>
      <c r="AH76" s="549"/>
      <c r="AI76" s="549"/>
      <c r="AJ76" s="549"/>
      <c r="AK76" s="549"/>
      <c r="AL76" s="550"/>
      <c r="AM76" s="551"/>
      <c r="AN76" s="551"/>
      <c r="AO76" s="551"/>
      <c r="AP76" s="551"/>
      <c r="AQ76" s="551"/>
      <c r="AR76" s="551"/>
      <c r="AS76" s="551"/>
      <c r="AT76" s="552"/>
      <c r="AU76" s="217"/>
      <c r="AV76" s="215"/>
    </row>
    <row r="77" spans="1:48" ht="16.5" customHeight="1">
      <c r="A77" s="211"/>
      <c r="B77" s="216"/>
      <c r="C77" s="479" t="str">
        <f>STUDENTS!O10</f>
        <v>સંસ્કૃત</v>
      </c>
      <c r="D77" s="480"/>
      <c r="E77" s="480"/>
      <c r="F77" s="555">
        <f ca="1">INDIRECT("STUDENTS!L"&amp;($R$1-1)*12+10)</f>
        <v>0</v>
      </c>
      <c r="G77" s="551">
        <f ca="1">INDIRECT("STUDENTS!M"&amp;($R$1-1)*12+10)</f>
        <v>0</v>
      </c>
      <c r="H77" s="551"/>
      <c r="I77" s="551"/>
      <c r="J77" s="551"/>
      <c r="K77" s="551"/>
      <c r="L77" s="551"/>
      <c r="M77" s="551"/>
      <c r="N77" s="551"/>
      <c r="O77" s="551">
        <f ca="1">INDIRECT("STUDENTS!N"&amp;($R$1-1)*12+10)</f>
        <v>0</v>
      </c>
      <c r="P77" s="551"/>
      <c r="Q77" s="551"/>
      <c r="R77" s="551"/>
      <c r="S77" s="551"/>
      <c r="T77" s="551"/>
      <c r="U77" s="551"/>
      <c r="V77" s="552"/>
      <c r="W77" s="217"/>
      <c r="X77" s="215"/>
      <c r="Y77" s="211"/>
      <c r="Z77" s="216"/>
      <c r="AA77" s="479" t="str">
        <f>C77</f>
        <v>સંસ્કૃત</v>
      </c>
      <c r="AB77" s="480"/>
      <c r="AC77" s="480"/>
      <c r="AD77" s="555">
        <f ca="1">INDIRECT("STUDENTS!P"&amp;($R$1-1)*12+10)</f>
        <v>0</v>
      </c>
      <c r="AE77" s="551">
        <f ca="1">INDIRECT("STUDENTS!Q"&amp;($R$1-1)*12+10)</f>
        <v>0</v>
      </c>
      <c r="AF77" s="551"/>
      <c r="AG77" s="551"/>
      <c r="AH77" s="551"/>
      <c r="AI77" s="551"/>
      <c r="AJ77" s="551"/>
      <c r="AK77" s="551"/>
      <c r="AL77" s="551"/>
      <c r="AM77" s="551">
        <f ca="1">INDIRECT("STUDENTS!R"&amp;($R$1-1)*12+10)</f>
        <v>0</v>
      </c>
      <c r="AN77" s="551"/>
      <c r="AO77" s="551"/>
      <c r="AP77" s="551"/>
      <c r="AQ77" s="551"/>
      <c r="AR77" s="551"/>
      <c r="AS77" s="551"/>
      <c r="AT77" s="552"/>
      <c r="AU77" s="217"/>
      <c r="AV77" s="215"/>
    </row>
    <row r="78" spans="1:48" ht="16.5" customHeight="1">
      <c r="A78" s="211"/>
      <c r="B78" s="216"/>
      <c r="C78" s="479"/>
      <c r="D78" s="480"/>
      <c r="E78" s="480"/>
      <c r="F78" s="555"/>
      <c r="G78" s="551"/>
      <c r="H78" s="551"/>
      <c r="I78" s="551"/>
      <c r="J78" s="551"/>
      <c r="K78" s="551"/>
      <c r="L78" s="551"/>
      <c r="M78" s="551"/>
      <c r="N78" s="551"/>
      <c r="O78" s="551"/>
      <c r="P78" s="551"/>
      <c r="Q78" s="551"/>
      <c r="R78" s="551"/>
      <c r="S78" s="551"/>
      <c r="T78" s="551"/>
      <c r="U78" s="551"/>
      <c r="V78" s="552"/>
      <c r="W78" s="217"/>
      <c r="X78" s="215"/>
      <c r="Y78" s="211"/>
      <c r="Z78" s="216"/>
      <c r="AA78" s="479"/>
      <c r="AB78" s="480"/>
      <c r="AC78" s="480"/>
      <c r="AD78" s="555"/>
      <c r="AE78" s="551"/>
      <c r="AF78" s="551"/>
      <c r="AG78" s="551"/>
      <c r="AH78" s="551"/>
      <c r="AI78" s="551"/>
      <c r="AJ78" s="551"/>
      <c r="AK78" s="551"/>
      <c r="AL78" s="551"/>
      <c r="AM78" s="551"/>
      <c r="AN78" s="551"/>
      <c r="AO78" s="551"/>
      <c r="AP78" s="551"/>
      <c r="AQ78" s="551"/>
      <c r="AR78" s="551"/>
      <c r="AS78" s="551"/>
      <c r="AT78" s="552"/>
      <c r="AU78" s="217"/>
      <c r="AV78" s="215"/>
    </row>
    <row r="79" spans="1:48" ht="16.5" customHeight="1">
      <c r="A79" s="211"/>
      <c r="B79" s="216"/>
      <c r="C79" s="479"/>
      <c r="D79" s="480"/>
      <c r="E79" s="480"/>
      <c r="F79" s="555"/>
      <c r="G79" s="551"/>
      <c r="H79" s="551"/>
      <c r="I79" s="551"/>
      <c r="J79" s="551"/>
      <c r="K79" s="551"/>
      <c r="L79" s="551"/>
      <c r="M79" s="551"/>
      <c r="N79" s="551"/>
      <c r="O79" s="551"/>
      <c r="P79" s="551"/>
      <c r="Q79" s="551"/>
      <c r="R79" s="551"/>
      <c r="S79" s="551"/>
      <c r="T79" s="551"/>
      <c r="U79" s="551"/>
      <c r="V79" s="552"/>
      <c r="W79" s="217"/>
      <c r="X79" s="215"/>
      <c r="Y79" s="211"/>
      <c r="Z79" s="216"/>
      <c r="AA79" s="479"/>
      <c r="AB79" s="480"/>
      <c r="AC79" s="480"/>
      <c r="AD79" s="555"/>
      <c r="AE79" s="551"/>
      <c r="AF79" s="551"/>
      <c r="AG79" s="551"/>
      <c r="AH79" s="551"/>
      <c r="AI79" s="551"/>
      <c r="AJ79" s="551"/>
      <c r="AK79" s="551"/>
      <c r="AL79" s="551"/>
      <c r="AM79" s="551"/>
      <c r="AN79" s="551"/>
      <c r="AO79" s="551"/>
      <c r="AP79" s="551"/>
      <c r="AQ79" s="551"/>
      <c r="AR79" s="551"/>
      <c r="AS79" s="551"/>
      <c r="AT79" s="552"/>
      <c r="AU79" s="217"/>
      <c r="AV79" s="215"/>
    </row>
    <row r="80" spans="1:48" ht="16.5" customHeight="1">
      <c r="A80" s="211"/>
      <c r="B80" s="216"/>
      <c r="C80" s="479" t="str">
        <f>STUDENTS!O11</f>
        <v>ચિત્ર</v>
      </c>
      <c r="D80" s="480"/>
      <c r="E80" s="480"/>
      <c r="F80" s="539">
        <f ca="1">INDIRECT("STUDENTS!L"&amp;($R$1-1)*12+11)</f>
        <v>0</v>
      </c>
      <c r="G80" s="542">
        <f ca="1">INDIRECT("STUDENTS!M"&amp;($R$1-1)*12+11)</f>
        <v>0</v>
      </c>
      <c r="H80" s="543"/>
      <c r="I80" s="543"/>
      <c r="J80" s="543"/>
      <c r="K80" s="543"/>
      <c r="L80" s="543"/>
      <c r="M80" s="543"/>
      <c r="N80" s="544"/>
      <c r="O80" s="551">
        <f ca="1">INDIRECT("STUDENTS!N"&amp;($R$1-1)*12+11)</f>
        <v>0</v>
      </c>
      <c r="P80" s="551"/>
      <c r="Q80" s="551"/>
      <c r="R80" s="551"/>
      <c r="S80" s="551"/>
      <c r="T80" s="551"/>
      <c r="U80" s="551"/>
      <c r="V80" s="552"/>
      <c r="W80" s="217"/>
      <c r="X80" s="215"/>
      <c r="Y80" s="211"/>
      <c r="Z80" s="216"/>
      <c r="AA80" s="524" t="str">
        <f>C80</f>
        <v>ચિત્ર</v>
      </c>
      <c r="AB80" s="534"/>
      <c r="AC80" s="525"/>
      <c r="AD80" s="539">
        <f ca="1">INDIRECT("STUDENTS!P"&amp;($R$1-1)*12+11)</f>
        <v>0</v>
      </c>
      <c r="AE80" s="542">
        <f ca="1">INDIRECT("STUDENTS!Q"&amp;($R$1-1)*12+11)</f>
        <v>0</v>
      </c>
      <c r="AF80" s="543"/>
      <c r="AG80" s="543"/>
      <c r="AH80" s="543"/>
      <c r="AI80" s="543"/>
      <c r="AJ80" s="543"/>
      <c r="AK80" s="543"/>
      <c r="AL80" s="544"/>
      <c r="AM80" s="551">
        <f ca="1">INDIRECT("STUDENTS!R"&amp;($R$1-1)*12+11)</f>
        <v>0</v>
      </c>
      <c r="AN80" s="551"/>
      <c r="AO80" s="551"/>
      <c r="AP80" s="551"/>
      <c r="AQ80" s="551"/>
      <c r="AR80" s="551"/>
      <c r="AS80" s="551"/>
      <c r="AT80" s="552"/>
      <c r="AU80" s="217"/>
      <c r="AV80" s="215"/>
    </row>
    <row r="81" spans="1:48" ht="16.5" customHeight="1">
      <c r="A81" s="211"/>
      <c r="B81" s="216"/>
      <c r="C81" s="479"/>
      <c r="D81" s="480"/>
      <c r="E81" s="480"/>
      <c r="F81" s="540"/>
      <c r="G81" s="545"/>
      <c r="H81" s="546"/>
      <c r="I81" s="546"/>
      <c r="J81" s="546"/>
      <c r="K81" s="546"/>
      <c r="L81" s="546"/>
      <c r="M81" s="546"/>
      <c r="N81" s="547"/>
      <c r="O81" s="551"/>
      <c r="P81" s="551"/>
      <c r="Q81" s="551"/>
      <c r="R81" s="551"/>
      <c r="S81" s="551"/>
      <c r="T81" s="551"/>
      <c r="U81" s="551"/>
      <c r="V81" s="552"/>
      <c r="W81" s="217"/>
      <c r="X81" s="215"/>
      <c r="Y81" s="211"/>
      <c r="Z81" s="216"/>
      <c r="AA81" s="535"/>
      <c r="AB81" s="536"/>
      <c r="AC81" s="537"/>
      <c r="AD81" s="540"/>
      <c r="AE81" s="545"/>
      <c r="AF81" s="546"/>
      <c r="AG81" s="546"/>
      <c r="AH81" s="546"/>
      <c r="AI81" s="546"/>
      <c r="AJ81" s="546"/>
      <c r="AK81" s="546"/>
      <c r="AL81" s="547"/>
      <c r="AM81" s="551"/>
      <c r="AN81" s="551"/>
      <c r="AO81" s="551"/>
      <c r="AP81" s="551"/>
      <c r="AQ81" s="551"/>
      <c r="AR81" s="551"/>
      <c r="AS81" s="551"/>
      <c r="AT81" s="552"/>
      <c r="AU81" s="217"/>
      <c r="AV81" s="215"/>
    </row>
    <row r="82" spans="1:48" ht="16.5" customHeight="1">
      <c r="A82" s="211"/>
      <c r="B82" s="216"/>
      <c r="C82" s="479"/>
      <c r="D82" s="480"/>
      <c r="E82" s="480"/>
      <c r="F82" s="541"/>
      <c r="G82" s="548"/>
      <c r="H82" s="549"/>
      <c r="I82" s="549"/>
      <c r="J82" s="549"/>
      <c r="K82" s="549"/>
      <c r="L82" s="549"/>
      <c r="M82" s="549"/>
      <c r="N82" s="550"/>
      <c r="O82" s="551"/>
      <c r="P82" s="551"/>
      <c r="Q82" s="551"/>
      <c r="R82" s="551"/>
      <c r="S82" s="551"/>
      <c r="T82" s="551"/>
      <c r="U82" s="551"/>
      <c r="V82" s="552"/>
      <c r="W82" s="217"/>
      <c r="X82" s="215"/>
      <c r="Y82" s="211"/>
      <c r="Z82" s="216"/>
      <c r="AA82" s="526"/>
      <c r="AB82" s="538"/>
      <c r="AC82" s="527"/>
      <c r="AD82" s="541"/>
      <c r="AE82" s="548"/>
      <c r="AF82" s="549"/>
      <c r="AG82" s="549"/>
      <c r="AH82" s="549"/>
      <c r="AI82" s="549"/>
      <c r="AJ82" s="549"/>
      <c r="AK82" s="549"/>
      <c r="AL82" s="550"/>
      <c r="AM82" s="551"/>
      <c r="AN82" s="551"/>
      <c r="AO82" s="551"/>
      <c r="AP82" s="551"/>
      <c r="AQ82" s="551"/>
      <c r="AR82" s="551"/>
      <c r="AS82" s="551"/>
      <c r="AT82" s="552"/>
      <c r="AU82" s="217"/>
      <c r="AV82" s="215"/>
    </row>
    <row r="83" spans="1:48" ht="16.5" customHeight="1">
      <c r="A83" s="211"/>
      <c r="B83" s="216"/>
      <c r="C83" s="479" t="str">
        <f>STUDENTS!O12</f>
        <v>સંગીત</v>
      </c>
      <c r="D83" s="480"/>
      <c r="E83" s="480"/>
      <c r="F83" s="539">
        <f ca="1">INDIRECT("STUDENTS!L"&amp;($R$1-1)*12+12)</f>
        <v>0</v>
      </c>
      <c r="G83" s="542">
        <f ca="1">INDIRECT("STUDENTS!M"&amp;($R$1-1)*12+12)</f>
        <v>0</v>
      </c>
      <c r="H83" s="543"/>
      <c r="I83" s="543"/>
      <c r="J83" s="543"/>
      <c r="K83" s="543"/>
      <c r="L83" s="543"/>
      <c r="M83" s="543"/>
      <c r="N83" s="544"/>
      <c r="O83" s="551">
        <f ca="1">INDIRECT("STUDENTS!N"&amp;($R$1-1)*12+12)</f>
        <v>0</v>
      </c>
      <c r="P83" s="551"/>
      <c r="Q83" s="551"/>
      <c r="R83" s="551"/>
      <c r="S83" s="551"/>
      <c r="T83" s="551"/>
      <c r="U83" s="551"/>
      <c r="V83" s="552"/>
      <c r="W83" s="217"/>
      <c r="X83" s="215"/>
      <c r="Y83" s="211"/>
      <c r="Z83" s="216"/>
      <c r="AA83" s="524" t="str">
        <f>C83</f>
        <v>સંગીત</v>
      </c>
      <c r="AB83" s="534"/>
      <c r="AC83" s="525"/>
      <c r="AD83" s="539">
        <f ca="1">INDIRECT("STUDENTS!P"&amp;($R$1-1)*12+12)</f>
        <v>0</v>
      </c>
      <c r="AE83" s="542">
        <f ca="1">INDIRECT("STUDENTS!Q"&amp;($R$1-1)*12+12)</f>
        <v>0</v>
      </c>
      <c r="AF83" s="543"/>
      <c r="AG83" s="543"/>
      <c r="AH83" s="543"/>
      <c r="AI83" s="543"/>
      <c r="AJ83" s="543"/>
      <c r="AK83" s="543"/>
      <c r="AL83" s="544"/>
      <c r="AM83" s="551">
        <f ca="1">INDIRECT("STUDENTS!R"&amp;($R$1-1)*12+12)</f>
        <v>0</v>
      </c>
      <c r="AN83" s="551"/>
      <c r="AO83" s="551"/>
      <c r="AP83" s="551"/>
      <c r="AQ83" s="551"/>
      <c r="AR83" s="551"/>
      <c r="AS83" s="551"/>
      <c r="AT83" s="552"/>
      <c r="AU83" s="217"/>
      <c r="AV83" s="215"/>
    </row>
    <row r="84" spans="1:48" ht="16.5" customHeight="1">
      <c r="A84" s="211"/>
      <c r="B84" s="216"/>
      <c r="C84" s="479"/>
      <c r="D84" s="480"/>
      <c r="E84" s="480"/>
      <c r="F84" s="540"/>
      <c r="G84" s="545"/>
      <c r="H84" s="546"/>
      <c r="I84" s="546"/>
      <c r="J84" s="546"/>
      <c r="K84" s="546"/>
      <c r="L84" s="546"/>
      <c r="M84" s="546"/>
      <c r="N84" s="547"/>
      <c r="O84" s="551"/>
      <c r="P84" s="551"/>
      <c r="Q84" s="551"/>
      <c r="R84" s="551"/>
      <c r="S84" s="551"/>
      <c r="T84" s="551"/>
      <c r="U84" s="551"/>
      <c r="V84" s="552"/>
      <c r="W84" s="217"/>
      <c r="X84" s="215"/>
      <c r="Y84" s="211"/>
      <c r="Z84" s="216"/>
      <c r="AA84" s="535"/>
      <c r="AB84" s="536"/>
      <c r="AC84" s="537"/>
      <c r="AD84" s="540"/>
      <c r="AE84" s="545"/>
      <c r="AF84" s="546"/>
      <c r="AG84" s="546"/>
      <c r="AH84" s="546"/>
      <c r="AI84" s="546"/>
      <c r="AJ84" s="546"/>
      <c r="AK84" s="546"/>
      <c r="AL84" s="547"/>
      <c r="AM84" s="551"/>
      <c r="AN84" s="551"/>
      <c r="AO84" s="551"/>
      <c r="AP84" s="551"/>
      <c r="AQ84" s="551"/>
      <c r="AR84" s="551"/>
      <c r="AS84" s="551"/>
      <c r="AT84" s="552"/>
      <c r="AU84" s="217"/>
      <c r="AV84" s="215"/>
    </row>
    <row r="85" spans="1:48" ht="16.5" customHeight="1">
      <c r="A85" s="211"/>
      <c r="B85" s="216"/>
      <c r="C85" s="479"/>
      <c r="D85" s="480"/>
      <c r="E85" s="480"/>
      <c r="F85" s="541"/>
      <c r="G85" s="548"/>
      <c r="H85" s="549"/>
      <c r="I85" s="549"/>
      <c r="J85" s="549"/>
      <c r="K85" s="549"/>
      <c r="L85" s="549"/>
      <c r="M85" s="549"/>
      <c r="N85" s="550"/>
      <c r="O85" s="551"/>
      <c r="P85" s="551"/>
      <c r="Q85" s="551"/>
      <c r="R85" s="551"/>
      <c r="S85" s="551"/>
      <c r="T85" s="551"/>
      <c r="U85" s="551"/>
      <c r="V85" s="552"/>
      <c r="W85" s="217"/>
      <c r="X85" s="215"/>
      <c r="Y85" s="211"/>
      <c r="Z85" s="216"/>
      <c r="AA85" s="526"/>
      <c r="AB85" s="538"/>
      <c r="AC85" s="527"/>
      <c r="AD85" s="541"/>
      <c r="AE85" s="548"/>
      <c r="AF85" s="549"/>
      <c r="AG85" s="549"/>
      <c r="AH85" s="549"/>
      <c r="AI85" s="549"/>
      <c r="AJ85" s="549"/>
      <c r="AK85" s="549"/>
      <c r="AL85" s="550"/>
      <c r="AM85" s="551"/>
      <c r="AN85" s="551"/>
      <c r="AO85" s="551"/>
      <c r="AP85" s="551"/>
      <c r="AQ85" s="551"/>
      <c r="AR85" s="551"/>
      <c r="AS85" s="551"/>
      <c r="AT85" s="552"/>
      <c r="AU85" s="217"/>
      <c r="AV85" s="215"/>
    </row>
    <row r="86" spans="1:48" ht="16.5" customHeight="1">
      <c r="A86" s="211"/>
      <c r="B86" s="216"/>
      <c r="C86" s="479" t="str">
        <f>STUDENTS!O13</f>
        <v>શા.શિ.</v>
      </c>
      <c r="D86" s="480"/>
      <c r="E86" s="480"/>
      <c r="F86" s="539">
        <f ca="1">INDIRECT("STUDENTS!L"&amp;($R$1-1)*12+13)</f>
        <v>0</v>
      </c>
      <c r="G86" s="542">
        <f ca="1">INDIRECT("STUDENTS!M"&amp;($R$1-1)*12+13)</f>
        <v>0</v>
      </c>
      <c r="H86" s="543"/>
      <c r="I86" s="543"/>
      <c r="J86" s="543"/>
      <c r="K86" s="543"/>
      <c r="L86" s="543"/>
      <c r="M86" s="543"/>
      <c r="N86" s="544"/>
      <c r="O86" s="551">
        <f ca="1">INDIRECT("STUDENTS!N"&amp;($R$1-1)*12+13)</f>
        <v>0</v>
      </c>
      <c r="P86" s="551"/>
      <c r="Q86" s="551"/>
      <c r="R86" s="551"/>
      <c r="S86" s="551"/>
      <c r="T86" s="551"/>
      <c r="U86" s="551"/>
      <c r="V86" s="552"/>
      <c r="W86" s="217"/>
      <c r="X86" s="215"/>
      <c r="Y86" s="211"/>
      <c r="Z86" s="216"/>
      <c r="AA86" s="524" t="str">
        <f>C86</f>
        <v>શા.શિ.</v>
      </c>
      <c r="AB86" s="534"/>
      <c r="AC86" s="525"/>
      <c r="AD86" s="539">
        <f ca="1">INDIRECT("STUDENTS!P"&amp;($R$1-1)*12+13)</f>
        <v>0</v>
      </c>
      <c r="AE86" s="542">
        <f ca="1">INDIRECT("STUDENTS!Q"&amp;($R$1-1)*12+13)</f>
        <v>0</v>
      </c>
      <c r="AF86" s="543"/>
      <c r="AG86" s="543"/>
      <c r="AH86" s="543"/>
      <c r="AI86" s="543"/>
      <c r="AJ86" s="543"/>
      <c r="AK86" s="543"/>
      <c r="AL86" s="544"/>
      <c r="AM86" s="551">
        <f ca="1">INDIRECT("STUDENTS!R"&amp;($R$1-1)*12+13)</f>
        <v>0</v>
      </c>
      <c r="AN86" s="551"/>
      <c r="AO86" s="551"/>
      <c r="AP86" s="551"/>
      <c r="AQ86" s="551"/>
      <c r="AR86" s="551"/>
      <c r="AS86" s="551"/>
      <c r="AT86" s="552"/>
      <c r="AU86" s="217"/>
      <c r="AV86" s="215"/>
    </row>
    <row r="87" spans="1:48" ht="16.5" customHeight="1">
      <c r="A87" s="211"/>
      <c r="B87" s="216"/>
      <c r="C87" s="479"/>
      <c r="D87" s="480"/>
      <c r="E87" s="480"/>
      <c r="F87" s="540"/>
      <c r="G87" s="545"/>
      <c r="H87" s="546"/>
      <c r="I87" s="546"/>
      <c r="J87" s="546"/>
      <c r="K87" s="546"/>
      <c r="L87" s="546"/>
      <c r="M87" s="546"/>
      <c r="N87" s="547"/>
      <c r="O87" s="551"/>
      <c r="P87" s="551"/>
      <c r="Q87" s="551"/>
      <c r="R87" s="551"/>
      <c r="S87" s="551"/>
      <c r="T87" s="551"/>
      <c r="U87" s="551"/>
      <c r="V87" s="552"/>
      <c r="W87" s="217"/>
      <c r="X87" s="215"/>
      <c r="Y87" s="211"/>
      <c r="Z87" s="216"/>
      <c r="AA87" s="535"/>
      <c r="AB87" s="536"/>
      <c r="AC87" s="537"/>
      <c r="AD87" s="540"/>
      <c r="AE87" s="545"/>
      <c r="AF87" s="546"/>
      <c r="AG87" s="546"/>
      <c r="AH87" s="546"/>
      <c r="AI87" s="546"/>
      <c r="AJ87" s="546"/>
      <c r="AK87" s="546"/>
      <c r="AL87" s="547"/>
      <c r="AM87" s="551"/>
      <c r="AN87" s="551"/>
      <c r="AO87" s="551"/>
      <c r="AP87" s="551"/>
      <c r="AQ87" s="551"/>
      <c r="AR87" s="551"/>
      <c r="AS87" s="551"/>
      <c r="AT87" s="552"/>
      <c r="AU87" s="217"/>
      <c r="AV87" s="215"/>
    </row>
    <row r="88" spans="1:48" ht="16.5" customHeight="1">
      <c r="A88" s="211"/>
      <c r="B88" s="216"/>
      <c r="C88" s="479"/>
      <c r="D88" s="480"/>
      <c r="E88" s="480"/>
      <c r="F88" s="541"/>
      <c r="G88" s="548"/>
      <c r="H88" s="549"/>
      <c r="I88" s="549"/>
      <c r="J88" s="549"/>
      <c r="K88" s="549"/>
      <c r="L88" s="549"/>
      <c r="M88" s="549"/>
      <c r="N88" s="550"/>
      <c r="O88" s="551"/>
      <c r="P88" s="551"/>
      <c r="Q88" s="551"/>
      <c r="R88" s="551"/>
      <c r="S88" s="551"/>
      <c r="T88" s="551"/>
      <c r="U88" s="551"/>
      <c r="V88" s="552"/>
      <c r="W88" s="217"/>
      <c r="X88" s="215"/>
      <c r="Y88" s="211"/>
      <c r="Z88" s="216"/>
      <c r="AA88" s="526"/>
      <c r="AB88" s="538"/>
      <c r="AC88" s="527"/>
      <c r="AD88" s="541"/>
      <c r="AE88" s="548"/>
      <c r="AF88" s="549"/>
      <c r="AG88" s="549"/>
      <c r="AH88" s="549"/>
      <c r="AI88" s="549"/>
      <c r="AJ88" s="549"/>
      <c r="AK88" s="549"/>
      <c r="AL88" s="550"/>
      <c r="AM88" s="551"/>
      <c r="AN88" s="551"/>
      <c r="AO88" s="551"/>
      <c r="AP88" s="551"/>
      <c r="AQ88" s="551"/>
      <c r="AR88" s="551"/>
      <c r="AS88" s="551"/>
      <c r="AT88" s="552"/>
      <c r="AU88" s="217"/>
      <c r="AV88" s="215"/>
    </row>
    <row r="89" spans="1:48" ht="16.5" customHeight="1">
      <c r="A89" s="211"/>
      <c r="B89" s="216"/>
      <c r="C89" s="479" t="str">
        <f>STUDENTS!O14</f>
        <v>કાર્યાનુભવ</v>
      </c>
      <c r="D89" s="480"/>
      <c r="E89" s="480"/>
      <c r="F89" s="539">
        <f ca="1">INDIRECT("STUDENTS!L"&amp;($R$1-1)*12+14)</f>
        <v>0</v>
      </c>
      <c r="G89" s="542">
        <f ca="1">INDIRECT("STUDENTS!M"&amp;($R$1-1)*12+14)</f>
        <v>0</v>
      </c>
      <c r="H89" s="543"/>
      <c r="I89" s="543"/>
      <c r="J89" s="543"/>
      <c r="K89" s="543"/>
      <c r="L89" s="543"/>
      <c r="M89" s="543"/>
      <c r="N89" s="544"/>
      <c r="O89" s="551">
        <f ca="1">INDIRECT("STUDENTS!N"&amp;($R$1-1)*12+14)</f>
        <v>0</v>
      </c>
      <c r="P89" s="551"/>
      <c r="Q89" s="551"/>
      <c r="R89" s="551"/>
      <c r="S89" s="551"/>
      <c r="T89" s="551"/>
      <c r="U89" s="551"/>
      <c r="V89" s="552"/>
      <c r="W89" s="217"/>
      <c r="X89" s="215"/>
      <c r="Y89" s="211"/>
      <c r="Z89" s="216"/>
      <c r="AA89" s="524" t="str">
        <f>C89</f>
        <v>કાર્યાનુભવ</v>
      </c>
      <c r="AB89" s="534"/>
      <c r="AC89" s="525"/>
      <c r="AD89" s="539">
        <f ca="1">INDIRECT("STUDENTS!P"&amp;($R$1-1)*12+14)</f>
        <v>0</v>
      </c>
      <c r="AE89" s="542">
        <f ca="1">INDIRECT("STUDENTS!Q"&amp;($R$1-1)*12+14)</f>
        <v>0</v>
      </c>
      <c r="AF89" s="543"/>
      <c r="AG89" s="543"/>
      <c r="AH89" s="543"/>
      <c r="AI89" s="543"/>
      <c r="AJ89" s="543"/>
      <c r="AK89" s="543"/>
      <c r="AL89" s="544"/>
      <c r="AM89" s="551">
        <f ca="1">INDIRECT("STUDENTS!R"&amp;($R$1-1)*12+14)</f>
        <v>0</v>
      </c>
      <c r="AN89" s="551"/>
      <c r="AO89" s="551"/>
      <c r="AP89" s="551"/>
      <c r="AQ89" s="551"/>
      <c r="AR89" s="551"/>
      <c r="AS89" s="551"/>
      <c r="AT89" s="552"/>
      <c r="AU89" s="217"/>
      <c r="AV89" s="215"/>
    </row>
    <row r="90" spans="1:48" ht="16.5" customHeight="1">
      <c r="A90" s="211"/>
      <c r="B90" s="216"/>
      <c r="C90" s="479"/>
      <c r="D90" s="480"/>
      <c r="E90" s="480"/>
      <c r="F90" s="540"/>
      <c r="G90" s="545"/>
      <c r="H90" s="546"/>
      <c r="I90" s="546"/>
      <c r="J90" s="546"/>
      <c r="K90" s="546"/>
      <c r="L90" s="546"/>
      <c r="M90" s="546"/>
      <c r="N90" s="547"/>
      <c r="O90" s="551"/>
      <c r="P90" s="551"/>
      <c r="Q90" s="551"/>
      <c r="R90" s="551"/>
      <c r="S90" s="551"/>
      <c r="T90" s="551"/>
      <c r="U90" s="551"/>
      <c r="V90" s="552"/>
      <c r="W90" s="217"/>
      <c r="X90" s="215"/>
      <c r="Y90" s="211"/>
      <c r="Z90" s="216"/>
      <c r="AA90" s="535"/>
      <c r="AB90" s="536"/>
      <c r="AC90" s="537"/>
      <c r="AD90" s="540"/>
      <c r="AE90" s="545"/>
      <c r="AF90" s="546"/>
      <c r="AG90" s="546"/>
      <c r="AH90" s="546"/>
      <c r="AI90" s="546"/>
      <c r="AJ90" s="546"/>
      <c r="AK90" s="546"/>
      <c r="AL90" s="547"/>
      <c r="AM90" s="551"/>
      <c r="AN90" s="551"/>
      <c r="AO90" s="551"/>
      <c r="AP90" s="551"/>
      <c r="AQ90" s="551"/>
      <c r="AR90" s="551"/>
      <c r="AS90" s="551"/>
      <c r="AT90" s="552"/>
      <c r="AU90" s="217"/>
      <c r="AV90" s="215"/>
    </row>
    <row r="91" spans="1:48" ht="16.5" customHeight="1">
      <c r="A91" s="211"/>
      <c r="B91" s="216"/>
      <c r="C91" s="571"/>
      <c r="D91" s="572"/>
      <c r="E91" s="572"/>
      <c r="F91" s="573"/>
      <c r="G91" s="574"/>
      <c r="H91" s="575"/>
      <c r="I91" s="575"/>
      <c r="J91" s="575"/>
      <c r="K91" s="575"/>
      <c r="L91" s="575"/>
      <c r="M91" s="575"/>
      <c r="N91" s="576"/>
      <c r="O91" s="577"/>
      <c r="P91" s="577"/>
      <c r="Q91" s="577"/>
      <c r="R91" s="577"/>
      <c r="S91" s="577"/>
      <c r="T91" s="577"/>
      <c r="U91" s="577"/>
      <c r="V91" s="578"/>
      <c r="W91" s="217"/>
      <c r="X91" s="215"/>
      <c r="Y91" s="211"/>
      <c r="Z91" s="216"/>
      <c r="AA91" s="580"/>
      <c r="AB91" s="581"/>
      <c r="AC91" s="582"/>
      <c r="AD91" s="573"/>
      <c r="AE91" s="574"/>
      <c r="AF91" s="575"/>
      <c r="AG91" s="575"/>
      <c r="AH91" s="575"/>
      <c r="AI91" s="575"/>
      <c r="AJ91" s="575"/>
      <c r="AK91" s="575"/>
      <c r="AL91" s="576"/>
      <c r="AM91" s="577"/>
      <c r="AN91" s="577"/>
      <c r="AO91" s="577"/>
      <c r="AP91" s="577"/>
      <c r="AQ91" s="577"/>
      <c r="AR91" s="577"/>
      <c r="AS91" s="577"/>
      <c r="AT91" s="578"/>
      <c r="AU91" s="217"/>
      <c r="AV91" s="215"/>
    </row>
    <row r="92" spans="1:48" ht="15.75" thickBot="1">
      <c r="A92" s="211"/>
      <c r="B92" s="223"/>
      <c r="C92" s="224"/>
      <c r="D92" s="224"/>
      <c r="E92" s="224"/>
      <c r="F92" s="224"/>
      <c r="G92" s="224"/>
      <c r="H92" s="224"/>
      <c r="I92" s="224"/>
      <c r="J92" s="224"/>
      <c r="K92" s="224"/>
      <c r="L92" s="224"/>
      <c r="M92" s="224"/>
      <c r="N92" s="224"/>
      <c r="O92" s="224"/>
      <c r="P92" s="224"/>
      <c r="Q92" s="224"/>
      <c r="R92" s="224"/>
      <c r="S92" s="224"/>
      <c r="T92" s="224"/>
      <c r="U92" s="224"/>
      <c r="V92" s="224"/>
      <c r="W92" s="225"/>
      <c r="X92" s="215"/>
      <c r="Y92" s="211"/>
      <c r="Z92" s="223"/>
      <c r="AA92" s="224"/>
      <c r="AB92" s="224"/>
      <c r="AC92" s="224"/>
      <c r="AD92" s="224"/>
      <c r="AE92" s="224"/>
      <c r="AF92" s="224"/>
      <c r="AG92" s="224"/>
      <c r="AH92" s="224"/>
      <c r="AI92" s="224"/>
      <c r="AJ92" s="224"/>
      <c r="AK92" s="224"/>
      <c r="AL92" s="224"/>
      <c r="AM92" s="224"/>
      <c r="AN92" s="224"/>
      <c r="AO92" s="224"/>
      <c r="AP92" s="224"/>
      <c r="AQ92" s="224"/>
      <c r="AR92" s="224"/>
      <c r="AS92" s="224"/>
      <c r="AT92" s="224"/>
      <c r="AU92" s="225"/>
      <c r="AV92" s="215"/>
    </row>
    <row r="93" spans="1:48">
      <c r="A93" s="226"/>
      <c r="B93" s="227"/>
      <c r="C93" s="227"/>
      <c r="D93" s="227"/>
      <c r="E93" s="227"/>
      <c r="F93" s="227"/>
      <c r="G93" s="227"/>
      <c r="H93" s="227"/>
      <c r="I93" s="227"/>
      <c r="J93" s="227"/>
      <c r="K93" s="227"/>
      <c r="L93" s="227"/>
      <c r="M93" s="227"/>
      <c r="N93" s="227"/>
      <c r="O93" s="227"/>
      <c r="P93" s="227"/>
      <c r="Q93" s="227"/>
      <c r="R93" s="227"/>
      <c r="S93" s="227"/>
      <c r="T93" s="227"/>
      <c r="U93" s="227"/>
      <c r="V93" s="227"/>
      <c r="W93" s="227"/>
      <c r="X93" s="228"/>
      <c r="Y93" s="226"/>
      <c r="Z93" s="227"/>
      <c r="AA93" s="227"/>
      <c r="AB93" s="227"/>
      <c r="AC93" s="227"/>
      <c r="AD93" s="227"/>
      <c r="AE93" s="227"/>
      <c r="AF93" s="227"/>
      <c r="AG93" s="227"/>
      <c r="AH93" s="227"/>
      <c r="AI93" s="227"/>
      <c r="AJ93" s="227"/>
      <c r="AK93" s="227"/>
      <c r="AL93" s="227"/>
      <c r="AM93" s="227"/>
      <c r="AN93" s="227"/>
      <c r="AO93" s="227"/>
      <c r="AP93" s="227"/>
      <c r="AQ93" s="227"/>
      <c r="AR93" s="227"/>
      <c r="AS93" s="227"/>
      <c r="AT93" s="227"/>
      <c r="AU93" s="227"/>
      <c r="AV93" s="228"/>
    </row>
    <row r="94" spans="1:48" ht="15.75" thickBot="1">
      <c r="A94" s="208"/>
      <c r="B94" s="209"/>
      <c r="C94" s="209"/>
      <c r="D94" s="209"/>
      <c r="E94" s="209"/>
      <c r="F94" s="209"/>
      <c r="G94" s="209"/>
      <c r="H94" s="209"/>
      <c r="I94" s="209"/>
      <c r="J94" s="209"/>
      <c r="K94" s="209"/>
      <c r="L94" s="209"/>
      <c r="M94" s="209"/>
      <c r="N94" s="209"/>
      <c r="O94" s="209"/>
      <c r="P94" s="209"/>
      <c r="Q94" s="209"/>
      <c r="R94" s="209"/>
      <c r="S94" s="209"/>
      <c r="T94" s="209"/>
      <c r="U94" s="209"/>
      <c r="V94" s="209"/>
      <c r="W94" s="209"/>
      <c r="X94" s="210"/>
      <c r="Y94" s="208"/>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10"/>
    </row>
    <row r="95" spans="1:48" ht="15.75" customHeight="1">
      <c r="A95" s="211"/>
      <c r="B95" s="212"/>
      <c r="C95" s="213"/>
      <c r="D95" s="213"/>
      <c r="E95" s="213"/>
      <c r="F95" s="213"/>
      <c r="G95" s="213"/>
      <c r="H95" s="213"/>
      <c r="I95" s="213"/>
      <c r="J95" s="213"/>
      <c r="K95" s="213"/>
      <c r="L95" s="213"/>
      <c r="M95" s="213"/>
      <c r="N95" s="213"/>
      <c r="O95" s="213"/>
      <c r="P95" s="213"/>
      <c r="Q95" s="213"/>
      <c r="R95" s="213"/>
      <c r="S95" s="213"/>
      <c r="T95" s="213"/>
      <c r="U95" s="213"/>
      <c r="V95" s="213"/>
      <c r="W95" s="214"/>
      <c r="X95" s="215"/>
      <c r="Y95" s="211"/>
      <c r="Z95" s="212"/>
      <c r="AA95" s="213"/>
      <c r="AB95" s="213"/>
      <c r="AC95" s="213"/>
      <c r="AD95" s="213"/>
      <c r="AE95" s="213"/>
      <c r="AF95" s="213"/>
      <c r="AG95" s="213"/>
      <c r="AH95" s="213"/>
      <c r="AI95" s="213"/>
      <c r="AJ95" s="213"/>
      <c r="AK95" s="213"/>
      <c r="AL95" s="213"/>
      <c r="AM95" s="213"/>
      <c r="AN95" s="213"/>
      <c r="AO95" s="213"/>
      <c r="AP95" s="213"/>
      <c r="AQ95" s="213"/>
      <c r="AR95" s="213"/>
      <c r="AS95" s="213"/>
      <c r="AT95" s="213"/>
      <c r="AU95" s="214"/>
      <c r="AV95" s="215"/>
    </row>
    <row r="96" spans="1:48" ht="15.75" customHeight="1">
      <c r="A96" s="211"/>
      <c r="B96" s="216"/>
      <c r="C96" s="470" t="s">
        <v>23</v>
      </c>
      <c r="D96" s="470"/>
      <c r="E96" s="470"/>
      <c r="F96" s="470"/>
      <c r="G96" s="470"/>
      <c r="H96" s="470"/>
      <c r="I96" s="470"/>
      <c r="J96" s="470"/>
      <c r="K96" s="470"/>
      <c r="L96" s="470"/>
      <c r="M96" s="470"/>
      <c r="N96" s="470"/>
      <c r="O96" s="470"/>
      <c r="P96" s="470"/>
      <c r="Q96" s="470"/>
      <c r="R96" s="470"/>
      <c r="S96" s="470"/>
      <c r="T96" s="470"/>
      <c r="U96" s="470"/>
      <c r="V96" s="470"/>
      <c r="W96" s="217"/>
      <c r="X96" s="215"/>
      <c r="Y96" s="211"/>
      <c r="Z96" s="216"/>
      <c r="AA96" s="470" t="s">
        <v>24</v>
      </c>
      <c r="AB96" s="470"/>
      <c r="AC96" s="470"/>
      <c r="AD96" s="470"/>
      <c r="AE96" s="470"/>
      <c r="AF96" s="470"/>
      <c r="AG96" s="470"/>
      <c r="AH96" s="470"/>
      <c r="AI96" s="470"/>
      <c r="AJ96" s="470"/>
      <c r="AK96" s="470"/>
      <c r="AL96" s="470"/>
      <c r="AM96" s="470"/>
      <c r="AN96" s="470"/>
      <c r="AO96" s="470"/>
      <c r="AP96" s="470"/>
      <c r="AQ96" s="470"/>
      <c r="AR96" s="470"/>
      <c r="AS96" s="470"/>
      <c r="AT96" s="470"/>
      <c r="AU96" s="217"/>
      <c r="AV96" s="215"/>
    </row>
    <row r="97" spans="1:48" ht="15.75" customHeight="1">
      <c r="A97" s="211"/>
      <c r="B97" s="216"/>
      <c r="C97" s="584" t="s">
        <v>18</v>
      </c>
      <c r="D97" s="585"/>
      <c r="E97" s="585"/>
      <c r="F97" s="229" t="s">
        <v>19</v>
      </c>
      <c r="G97" s="585" t="s">
        <v>233</v>
      </c>
      <c r="H97" s="585"/>
      <c r="I97" s="585"/>
      <c r="J97" s="585"/>
      <c r="K97" s="585"/>
      <c r="L97" s="585"/>
      <c r="M97" s="585"/>
      <c r="N97" s="585"/>
      <c r="O97" s="586" t="s">
        <v>234</v>
      </c>
      <c r="P97" s="586"/>
      <c r="Q97" s="586"/>
      <c r="R97" s="586"/>
      <c r="S97" s="586"/>
      <c r="T97" s="586"/>
      <c r="U97" s="586"/>
      <c r="V97" s="587"/>
      <c r="W97" s="217"/>
      <c r="X97" s="215"/>
      <c r="Y97" s="211"/>
      <c r="Z97" s="216"/>
      <c r="AA97" s="519" t="s">
        <v>13</v>
      </c>
      <c r="AB97" s="488"/>
      <c r="AC97" s="488" t="s">
        <v>236</v>
      </c>
      <c r="AD97" s="488"/>
      <c r="AE97" s="488"/>
      <c r="AF97" s="488" t="s">
        <v>26</v>
      </c>
      <c r="AG97" s="488"/>
      <c r="AH97" s="488"/>
      <c r="AI97" s="488" t="s">
        <v>237</v>
      </c>
      <c r="AJ97" s="488"/>
      <c r="AK97" s="488"/>
      <c r="AL97" s="488" t="s">
        <v>28</v>
      </c>
      <c r="AM97" s="488"/>
      <c r="AN97" s="488"/>
      <c r="AO97" s="488" t="s">
        <v>16</v>
      </c>
      <c r="AP97" s="488"/>
      <c r="AQ97" s="488"/>
      <c r="AR97" s="488" t="s">
        <v>235</v>
      </c>
      <c r="AS97" s="488"/>
      <c r="AT97" s="490"/>
      <c r="AU97" s="217"/>
      <c r="AV97" s="215"/>
    </row>
    <row r="98" spans="1:48" ht="15.75" customHeight="1">
      <c r="A98" s="211"/>
      <c r="B98" s="216"/>
      <c r="C98" s="479" t="str">
        <f>C53</f>
        <v>ગુજરાતી</v>
      </c>
      <c r="D98" s="480"/>
      <c r="E98" s="480"/>
      <c r="F98" s="555">
        <f ca="1">INDIRECT("STUDENTS!T"&amp;($R$1-1)*12+4)</f>
        <v>0</v>
      </c>
      <c r="G98" s="551">
        <f ca="1">INDIRECT("STUDENTS!U"&amp;($R$1-1)*12+4)</f>
        <v>0</v>
      </c>
      <c r="H98" s="551"/>
      <c r="I98" s="551"/>
      <c r="J98" s="551"/>
      <c r="K98" s="551"/>
      <c r="L98" s="551"/>
      <c r="M98" s="551"/>
      <c r="N98" s="551"/>
      <c r="O98" s="551">
        <f ca="1">INDIRECT("STUDENTS!V"&amp;($R$1-1)*12+4)</f>
        <v>0</v>
      </c>
      <c r="P98" s="551"/>
      <c r="Q98" s="551"/>
      <c r="R98" s="551"/>
      <c r="S98" s="551"/>
      <c r="T98" s="551"/>
      <c r="U98" s="551"/>
      <c r="V98" s="552"/>
      <c r="W98" s="217"/>
      <c r="X98" s="215"/>
      <c r="Y98" s="211"/>
      <c r="Z98" s="216"/>
      <c r="AA98" s="520"/>
      <c r="AB98" s="489"/>
      <c r="AC98" s="489"/>
      <c r="AD98" s="489"/>
      <c r="AE98" s="489"/>
      <c r="AF98" s="489"/>
      <c r="AG98" s="489"/>
      <c r="AH98" s="489"/>
      <c r="AI98" s="489"/>
      <c r="AJ98" s="489"/>
      <c r="AK98" s="489"/>
      <c r="AL98" s="489"/>
      <c r="AM98" s="489"/>
      <c r="AN98" s="489"/>
      <c r="AO98" s="489"/>
      <c r="AP98" s="489"/>
      <c r="AQ98" s="489"/>
      <c r="AR98" s="489"/>
      <c r="AS98" s="489"/>
      <c r="AT98" s="491"/>
      <c r="AU98" s="217"/>
      <c r="AV98" s="215"/>
    </row>
    <row r="99" spans="1:48" ht="15.75" customHeight="1">
      <c r="A99" s="211"/>
      <c r="B99" s="216"/>
      <c r="C99" s="479"/>
      <c r="D99" s="480"/>
      <c r="E99" s="480"/>
      <c r="F99" s="555"/>
      <c r="G99" s="551"/>
      <c r="H99" s="551"/>
      <c r="I99" s="551"/>
      <c r="J99" s="551"/>
      <c r="K99" s="551"/>
      <c r="L99" s="551"/>
      <c r="M99" s="551"/>
      <c r="N99" s="551"/>
      <c r="O99" s="551"/>
      <c r="P99" s="551"/>
      <c r="Q99" s="551"/>
      <c r="R99" s="551"/>
      <c r="S99" s="551"/>
      <c r="T99" s="551"/>
      <c r="U99" s="551"/>
      <c r="V99" s="552"/>
      <c r="W99" s="217"/>
      <c r="X99" s="215"/>
      <c r="Y99" s="211"/>
      <c r="Z99" s="216"/>
      <c r="AA99" s="479">
        <f ca="1">INDIRECT("STUDENTS!W"&amp;($R$1-1)*12+4)</f>
        <v>0</v>
      </c>
      <c r="AB99" s="480"/>
      <c r="AC99" s="481">
        <f ca="1">INDIRECT("STUDENTS!X"&amp;($R$1-1)*12+4)</f>
        <v>0</v>
      </c>
      <c r="AD99" s="481"/>
      <c r="AE99" s="481"/>
      <c r="AF99" s="492">
        <f ca="1">INDIRECT("STUDENTS!Y"&amp;($R$1-1)*12+4)</f>
        <v>0</v>
      </c>
      <c r="AG99" s="493"/>
      <c r="AH99" s="494"/>
      <c r="AI99" s="492">
        <f ca="1">INDIRECT("STUDENTS!Z"&amp;($R$1-1)*12+4)</f>
        <v>0</v>
      </c>
      <c r="AJ99" s="493"/>
      <c r="AK99" s="494"/>
      <c r="AL99" s="528">
        <f ca="1">INDIRECT("STUDENTS!AA"&amp;($R$1-1)*12+4)</f>
        <v>0</v>
      </c>
      <c r="AM99" s="529"/>
      <c r="AN99" s="530"/>
      <c r="AO99" s="492">
        <f ca="1">INDIRECT("STUDENTS!AB"&amp;($R$1-1)*12+4)</f>
        <v>0</v>
      </c>
      <c r="AP99" s="493"/>
      <c r="AQ99" s="494"/>
      <c r="AR99" s="492"/>
      <c r="AS99" s="493"/>
      <c r="AT99" s="522"/>
      <c r="AU99" s="217"/>
      <c r="AV99" s="215"/>
    </row>
    <row r="100" spans="1:48" ht="15.75" customHeight="1">
      <c r="A100" s="211"/>
      <c r="B100" s="216"/>
      <c r="C100" s="479"/>
      <c r="D100" s="480"/>
      <c r="E100" s="480"/>
      <c r="F100" s="555"/>
      <c r="G100" s="551"/>
      <c r="H100" s="551"/>
      <c r="I100" s="551"/>
      <c r="J100" s="551"/>
      <c r="K100" s="551"/>
      <c r="L100" s="551"/>
      <c r="M100" s="551"/>
      <c r="N100" s="551"/>
      <c r="O100" s="551"/>
      <c r="P100" s="551"/>
      <c r="Q100" s="551"/>
      <c r="R100" s="551"/>
      <c r="S100" s="551"/>
      <c r="T100" s="551"/>
      <c r="U100" s="551"/>
      <c r="V100" s="552"/>
      <c r="W100" s="217"/>
      <c r="X100" s="215"/>
      <c r="Y100" s="211"/>
      <c r="Z100" s="216"/>
      <c r="AA100" s="479"/>
      <c r="AB100" s="480"/>
      <c r="AC100" s="481"/>
      <c r="AD100" s="481"/>
      <c r="AE100" s="481"/>
      <c r="AF100" s="495"/>
      <c r="AG100" s="496"/>
      <c r="AH100" s="497"/>
      <c r="AI100" s="495"/>
      <c r="AJ100" s="496"/>
      <c r="AK100" s="497"/>
      <c r="AL100" s="531"/>
      <c r="AM100" s="532"/>
      <c r="AN100" s="533"/>
      <c r="AO100" s="495"/>
      <c r="AP100" s="496"/>
      <c r="AQ100" s="497"/>
      <c r="AR100" s="495"/>
      <c r="AS100" s="496"/>
      <c r="AT100" s="523"/>
      <c r="AU100" s="217"/>
      <c r="AV100" s="215"/>
    </row>
    <row r="101" spans="1:48" ht="15.75" customHeight="1">
      <c r="A101" s="211"/>
      <c r="B101" s="216"/>
      <c r="C101" s="479"/>
      <c r="D101" s="480"/>
      <c r="E101" s="480"/>
      <c r="F101" s="555"/>
      <c r="G101" s="551"/>
      <c r="H101" s="551"/>
      <c r="I101" s="551"/>
      <c r="J101" s="551"/>
      <c r="K101" s="551"/>
      <c r="L101" s="551"/>
      <c r="M101" s="551"/>
      <c r="N101" s="551"/>
      <c r="O101" s="551"/>
      <c r="P101" s="551"/>
      <c r="Q101" s="551"/>
      <c r="R101" s="551"/>
      <c r="S101" s="551"/>
      <c r="T101" s="551"/>
      <c r="U101" s="551"/>
      <c r="V101" s="552"/>
      <c r="W101" s="217"/>
      <c r="X101" s="215"/>
      <c r="Y101" s="211"/>
      <c r="Z101" s="216"/>
      <c r="AA101" s="524">
        <f ca="1">INDIRECT("STUDENTS!W"&amp;($R$1-1)*12+6)</f>
        <v>0</v>
      </c>
      <c r="AB101" s="525"/>
      <c r="AC101" s="481">
        <f ca="1">INDIRECT("STUDENTS!X"&amp;($R$1-1)*12+6)</f>
        <v>0</v>
      </c>
      <c r="AD101" s="481"/>
      <c r="AE101" s="481"/>
      <c r="AF101" s="492">
        <f ca="1">INDIRECT("STUDENTS!Y"&amp;($R$1-1)*12+6)</f>
        <v>0</v>
      </c>
      <c r="AG101" s="493"/>
      <c r="AH101" s="494"/>
      <c r="AI101" s="492">
        <f ca="1">INDIRECT("STUDENTS!Z"&amp;($R$1-1)*12+6)</f>
        <v>0</v>
      </c>
      <c r="AJ101" s="493"/>
      <c r="AK101" s="494"/>
      <c r="AL101" s="528">
        <f ca="1">INDIRECT("STUDENTS!AA"&amp;($R$1-1)*12+6)</f>
        <v>0</v>
      </c>
      <c r="AM101" s="529"/>
      <c r="AN101" s="530"/>
      <c r="AO101" s="492">
        <f ca="1">INDIRECT("STUDENTS!AB"&amp;($R$1-1)*12+6)</f>
        <v>0</v>
      </c>
      <c r="AP101" s="493"/>
      <c r="AQ101" s="494"/>
      <c r="AR101" s="492"/>
      <c r="AS101" s="493"/>
      <c r="AT101" s="522"/>
      <c r="AU101" s="217"/>
      <c r="AV101" s="215"/>
    </row>
    <row r="102" spans="1:48" ht="15.75" customHeight="1">
      <c r="A102" s="211"/>
      <c r="B102" s="216"/>
      <c r="C102" s="524" t="str">
        <f>C57</f>
        <v>ગણિત</v>
      </c>
      <c r="D102" s="534"/>
      <c r="E102" s="525"/>
      <c r="F102" s="555">
        <f ca="1">INDIRECT("STUDENTS!T"&amp;($R$1-1)*12+5)</f>
        <v>0</v>
      </c>
      <c r="G102" s="542">
        <f ca="1">INDIRECT("STUDENTS!U"&amp;($R$1-1)*12+5)</f>
        <v>0</v>
      </c>
      <c r="H102" s="543"/>
      <c r="I102" s="543"/>
      <c r="J102" s="543"/>
      <c r="K102" s="543"/>
      <c r="L102" s="543"/>
      <c r="M102" s="543"/>
      <c r="N102" s="544"/>
      <c r="O102" s="551">
        <f ca="1">INDIRECT("STUDENTS!V"&amp;($R$1-1)*12+5)</f>
        <v>0</v>
      </c>
      <c r="P102" s="551"/>
      <c r="Q102" s="551"/>
      <c r="R102" s="551"/>
      <c r="S102" s="551"/>
      <c r="T102" s="551"/>
      <c r="U102" s="551"/>
      <c r="V102" s="552"/>
      <c r="W102" s="217"/>
      <c r="X102" s="215"/>
      <c r="Y102" s="211"/>
      <c r="Z102" s="216"/>
      <c r="AA102" s="526"/>
      <c r="AB102" s="527"/>
      <c r="AC102" s="481"/>
      <c r="AD102" s="481"/>
      <c r="AE102" s="481"/>
      <c r="AF102" s="495"/>
      <c r="AG102" s="496"/>
      <c r="AH102" s="497"/>
      <c r="AI102" s="495"/>
      <c r="AJ102" s="496"/>
      <c r="AK102" s="497"/>
      <c r="AL102" s="531"/>
      <c r="AM102" s="532"/>
      <c r="AN102" s="533"/>
      <c r="AO102" s="495"/>
      <c r="AP102" s="496"/>
      <c r="AQ102" s="497"/>
      <c r="AR102" s="495"/>
      <c r="AS102" s="496"/>
      <c r="AT102" s="523"/>
      <c r="AU102" s="217"/>
      <c r="AV102" s="215"/>
    </row>
    <row r="103" spans="1:48" ht="15.75" customHeight="1">
      <c r="A103" s="211"/>
      <c r="B103" s="216"/>
      <c r="C103" s="535"/>
      <c r="D103" s="536"/>
      <c r="E103" s="537"/>
      <c r="F103" s="555"/>
      <c r="G103" s="545"/>
      <c r="H103" s="546"/>
      <c r="I103" s="546"/>
      <c r="J103" s="546"/>
      <c r="K103" s="546"/>
      <c r="L103" s="546"/>
      <c r="M103" s="546"/>
      <c r="N103" s="547"/>
      <c r="O103" s="551"/>
      <c r="P103" s="551"/>
      <c r="Q103" s="551"/>
      <c r="R103" s="551"/>
      <c r="S103" s="551"/>
      <c r="T103" s="551"/>
      <c r="U103" s="551"/>
      <c r="V103" s="552"/>
      <c r="W103" s="217"/>
      <c r="X103" s="215"/>
      <c r="Y103" s="211"/>
      <c r="Z103" s="216"/>
      <c r="AA103" s="524">
        <f ca="1">INDIRECT("STUDENTS!W"&amp;($R$1-1)*12+8)</f>
        <v>0</v>
      </c>
      <c r="AB103" s="525"/>
      <c r="AC103" s="481">
        <f ca="1">INDIRECT("STUDENTS!X"&amp;($R$1-1)*12+8)</f>
        <v>0</v>
      </c>
      <c r="AD103" s="481"/>
      <c r="AE103" s="481"/>
      <c r="AF103" s="492">
        <f ca="1">INDIRECT("STUDENTS!Y"&amp;($R$1-1)*12+8)</f>
        <v>0</v>
      </c>
      <c r="AG103" s="493"/>
      <c r="AH103" s="494"/>
      <c r="AI103" s="492">
        <f ca="1">INDIRECT("STUDENTS!Z"&amp;($R$1-1)*12+8)</f>
        <v>0</v>
      </c>
      <c r="AJ103" s="493"/>
      <c r="AK103" s="494"/>
      <c r="AL103" s="528">
        <f ca="1">INDIRECT("STUDENTS!AA"&amp;($R$1-1)*12+8)</f>
        <v>0</v>
      </c>
      <c r="AM103" s="529"/>
      <c r="AN103" s="530"/>
      <c r="AO103" s="492">
        <f ca="1">INDIRECT("STUDENTS!AB"&amp;($R$1-1)*12+8)</f>
        <v>0</v>
      </c>
      <c r="AP103" s="493"/>
      <c r="AQ103" s="494"/>
      <c r="AR103" s="492"/>
      <c r="AS103" s="493"/>
      <c r="AT103" s="522"/>
      <c r="AU103" s="217"/>
      <c r="AV103" s="215"/>
    </row>
    <row r="104" spans="1:48" ht="15.75" customHeight="1">
      <c r="A104" s="211"/>
      <c r="B104" s="216"/>
      <c r="C104" s="535"/>
      <c r="D104" s="536"/>
      <c r="E104" s="537"/>
      <c r="F104" s="555"/>
      <c r="G104" s="545"/>
      <c r="H104" s="546"/>
      <c r="I104" s="546"/>
      <c r="J104" s="546"/>
      <c r="K104" s="546"/>
      <c r="L104" s="546"/>
      <c r="M104" s="546"/>
      <c r="N104" s="547"/>
      <c r="O104" s="551"/>
      <c r="P104" s="551"/>
      <c r="Q104" s="551"/>
      <c r="R104" s="551"/>
      <c r="S104" s="551"/>
      <c r="T104" s="551"/>
      <c r="U104" s="551"/>
      <c r="V104" s="552"/>
      <c r="W104" s="217"/>
      <c r="X104" s="215"/>
      <c r="Y104" s="211"/>
      <c r="Z104" s="216"/>
      <c r="AA104" s="526"/>
      <c r="AB104" s="527"/>
      <c r="AC104" s="481"/>
      <c r="AD104" s="481"/>
      <c r="AE104" s="481"/>
      <c r="AF104" s="495"/>
      <c r="AG104" s="496"/>
      <c r="AH104" s="497"/>
      <c r="AI104" s="495"/>
      <c r="AJ104" s="496"/>
      <c r="AK104" s="497"/>
      <c r="AL104" s="531"/>
      <c r="AM104" s="532"/>
      <c r="AN104" s="533"/>
      <c r="AO104" s="495"/>
      <c r="AP104" s="496"/>
      <c r="AQ104" s="497"/>
      <c r="AR104" s="495"/>
      <c r="AS104" s="496"/>
      <c r="AT104" s="523"/>
      <c r="AU104" s="217"/>
      <c r="AV104" s="215"/>
    </row>
    <row r="105" spans="1:48" ht="15.75" customHeight="1">
      <c r="A105" s="211"/>
      <c r="B105" s="216"/>
      <c r="C105" s="526"/>
      <c r="D105" s="538"/>
      <c r="E105" s="527"/>
      <c r="F105" s="555"/>
      <c r="G105" s="548"/>
      <c r="H105" s="549"/>
      <c r="I105" s="549"/>
      <c r="J105" s="549"/>
      <c r="K105" s="549"/>
      <c r="L105" s="549"/>
      <c r="M105" s="549"/>
      <c r="N105" s="550"/>
      <c r="O105" s="551"/>
      <c r="P105" s="551"/>
      <c r="Q105" s="551"/>
      <c r="R105" s="551"/>
      <c r="S105" s="551"/>
      <c r="T105" s="551"/>
      <c r="U105" s="551"/>
      <c r="V105" s="552"/>
      <c r="W105" s="217"/>
      <c r="X105" s="215"/>
      <c r="Y105" s="211"/>
      <c r="Z105" s="216"/>
      <c r="AA105" s="524">
        <f ca="1">INDIRECT("STUDENTS!W"&amp;($R$1-1)*12+10)</f>
        <v>0</v>
      </c>
      <c r="AB105" s="525"/>
      <c r="AC105" s="481">
        <f ca="1">INDIRECT("STUDENTS!X"&amp;($R$1-1)*12+10)</f>
        <v>0</v>
      </c>
      <c r="AD105" s="481"/>
      <c r="AE105" s="481"/>
      <c r="AF105" s="492">
        <f ca="1">INDIRECT("STUDENTS!Y"&amp;($R$1-1)*12+10)</f>
        <v>0</v>
      </c>
      <c r="AG105" s="493"/>
      <c r="AH105" s="494"/>
      <c r="AI105" s="492">
        <f ca="1">INDIRECT("STUDENTS!Z"&amp;($R$1-1)*12+10)</f>
        <v>0</v>
      </c>
      <c r="AJ105" s="493"/>
      <c r="AK105" s="494"/>
      <c r="AL105" s="528">
        <f ca="1">INDIRECT("STUDENTS!AA"&amp;($R$1-1)*12+10)</f>
        <v>0</v>
      </c>
      <c r="AM105" s="529"/>
      <c r="AN105" s="530"/>
      <c r="AO105" s="492">
        <f ca="1">INDIRECT("STUDENTS!AB"&amp;($R$1-1)*12+10)</f>
        <v>0</v>
      </c>
      <c r="AP105" s="493"/>
      <c r="AQ105" s="494"/>
      <c r="AR105" s="492"/>
      <c r="AS105" s="493"/>
      <c r="AT105" s="522"/>
      <c r="AU105" s="217"/>
      <c r="AV105" s="215"/>
    </row>
    <row r="106" spans="1:48" ht="15.75" customHeight="1">
      <c r="A106" s="211"/>
      <c r="B106" s="216"/>
      <c r="C106" s="524" t="str">
        <f>C61</f>
        <v>હિન્દી</v>
      </c>
      <c r="D106" s="534"/>
      <c r="E106" s="525"/>
      <c r="F106" s="555">
        <f ca="1">INDIRECT("STUDENTS!T"&amp;($R$1-1)*12+6)</f>
        <v>0</v>
      </c>
      <c r="G106" s="542">
        <f ca="1">INDIRECT("STUDENTS!U"&amp;($R$1-1)*12+6)</f>
        <v>0</v>
      </c>
      <c r="H106" s="543"/>
      <c r="I106" s="543"/>
      <c r="J106" s="543"/>
      <c r="K106" s="543"/>
      <c r="L106" s="543"/>
      <c r="M106" s="543"/>
      <c r="N106" s="544"/>
      <c r="O106" s="551">
        <f ca="1">INDIRECT("STUDENTS!V"&amp;($R$1-1)*12+6)</f>
        <v>0</v>
      </c>
      <c r="P106" s="551"/>
      <c r="Q106" s="551"/>
      <c r="R106" s="551"/>
      <c r="S106" s="551"/>
      <c r="T106" s="551"/>
      <c r="U106" s="551"/>
      <c r="V106" s="552"/>
      <c r="W106" s="217"/>
      <c r="X106" s="215"/>
      <c r="Y106" s="211"/>
      <c r="Z106" s="216"/>
      <c r="AA106" s="526"/>
      <c r="AB106" s="527"/>
      <c r="AC106" s="481"/>
      <c r="AD106" s="481"/>
      <c r="AE106" s="481"/>
      <c r="AF106" s="495"/>
      <c r="AG106" s="496"/>
      <c r="AH106" s="497"/>
      <c r="AI106" s="495"/>
      <c r="AJ106" s="496"/>
      <c r="AK106" s="497"/>
      <c r="AL106" s="531"/>
      <c r="AM106" s="532"/>
      <c r="AN106" s="533"/>
      <c r="AO106" s="495"/>
      <c r="AP106" s="496"/>
      <c r="AQ106" s="497"/>
      <c r="AR106" s="495"/>
      <c r="AS106" s="496"/>
      <c r="AT106" s="523"/>
      <c r="AU106" s="217"/>
      <c r="AV106" s="215"/>
    </row>
    <row r="107" spans="1:48" ht="15.75" customHeight="1">
      <c r="A107" s="211"/>
      <c r="B107" s="216"/>
      <c r="C107" s="535"/>
      <c r="D107" s="536"/>
      <c r="E107" s="537"/>
      <c r="F107" s="555"/>
      <c r="G107" s="545"/>
      <c r="H107" s="546"/>
      <c r="I107" s="546"/>
      <c r="J107" s="546"/>
      <c r="K107" s="546"/>
      <c r="L107" s="546"/>
      <c r="M107" s="546"/>
      <c r="N107" s="547"/>
      <c r="O107" s="551"/>
      <c r="P107" s="551"/>
      <c r="Q107" s="551"/>
      <c r="R107" s="551"/>
      <c r="S107" s="551"/>
      <c r="T107" s="551"/>
      <c r="U107" s="551"/>
      <c r="V107" s="552"/>
      <c r="W107" s="217"/>
      <c r="X107" s="215"/>
      <c r="Y107" s="211"/>
      <c r="Z107" s="216"/>
      <c r="AA107" s="524">
        <f ca="1">INDIRECT("STUDENTS!W"&amp;($R$1-1)*12+12)</f>
        <v>0</v>
      </c>
      <c r="AB107" s="525"/>
      <c r="AC107" s="481">
        <f ca="1">INDIRECT("STUDENTS!X"&amp;($R$1-1)*12+12)</f>
        <v>0</v>
      </c>
      <c r="AD107" s="481"/>
      <c r="AE107" s="481"/>
      <c r="AF107" s="492">
        <f ca="1">INDIRECT("STUDENTS!Y"&amp;($R$1-1)*12+12)</f>
        <v>0</v>
      </c>
      <c r="AG107" s="493"/>
      <c r="AH107" s="494"/>
      <c r="AI107" s="492">
        <f ca="1">INDIRECT("STUDENTS!Z"&amp;($R$1-1)*12+12)</f>
        <v>0</v>
      </c>
      <c r="AJ107" s="493"/>
      <c r="AK107" s="494"/>
      <c r="AL107" s="528">
        <f ca="1">INDIRECT("STUDENTS!AA"&amp;($R$1-1)*12+12)</f>
        <v>0</v>
      </c>
      <c r="AM107" s="529"/>
      <c r="AN107" s="530"/>
      <c r="AO107" s="492">
        <f ca="1">INDIRECT("STUDENTS!AB"&amp;($R$1-1)*12+12)</f>
        <v>0</v>
      </c>
      <c r="AP107" s="493"/>
      <c r="AQ107" s="494"/>
      <c r="AR107" s="492"/>
      <c r="AS107" s="493"/>
      <c r="AT107" s="522"/>
      <c r="AU107" s="217"/>
      <c r="AV107" s="215"/>
    </row>
    <row r="108" spans="1:48" ht="15.75" customHeight="1">
      <c r="A108" s="211"/>
      <c r="B108" s="216"/>
      <c r="C108" s="535"/>
      <c r="D108" s="536"/>
      <c r="E108" s="537"/>
      <c r="F108" s="555"/>
      <c r="G108" s="545"/>
      <c r="H108" s="546"/>
      <c r="I108" s="546"/>
      <c r="J108" s="546"/>
      <c r="K108" s="546"/>
      <c r="L108" s="546"/>
      <c r="M108" s="546"/>
      <c r="N108" s="547"/>
      <c r="O108" s="551"/>
      <c r="P108" s="551"/>
      <c r="Q108" s="551"/>
      <c r="R108" s="551"/>
      <c r="S108" s="551"/>
      <c r="T108" s="551"/>
      <c r="U108" s="551"/>
      <c r="V108" s="552"/>
      <c r="W108" s="217"/>
      <c r="X108" s="215"/>
      <c r="Y108" s="211"/>
      <c r="Z108" s="216"/>
      <c r="AA108" s="580"/>
      <c r="AB108" s="582"/>
      <c r="AC108" s="517"/>
      <c r="AD108" s="517"/>
      <c r="AE108" s="517"/>
      <c r="AF108" s="513"/>
      <c r="AG108" s="514"/>
      <c r="AH108" s="515"/>
      <c r="AI108" s="513"/>
      <c r="AJ108" s="514"/>
      <c r="AK108" s="515"/>
      <c r="AL108" s="596"/>
      <c r="AM108" s="597"/>
      <c r="AN108" s="598"/>
      <c r="AO108" s="513"/>
      <c r="AP108" s="514"/>
      <c r="AQ108" s="515"/>
      <c r="AR108" s="513"/>
      <c r="AS108" s="514"/>
      <c r="AT108" s="595"/>
      <c r="AU108" s="217"/>
      <c r="AV108" s="215"/>
    </row>
    <row r="109" spans="1:48" ht="15.75" customHeight="1">
      <c r="A109" s="211"/>
      <c r="B109" s="216"/>
      <c r="C109" s="526"/>
      <c r="D109" s="538"/>
      <c r="E109" s="527"/>
      <c r="F109" s="555"/>
      <c r="G109" s="548"/>
      <c r="H109" s="549"/>
      <c r="I109" s="549"/>
      <c r="J109" s="549"/>
      <c r="K109" s="549"/>
      <c r="L109" s="549"/>
      <c r="M109" s="549"/>
      <c r="N109" s="550"/>
      <c r="O109" s="551"/>
      <c r="P109" s="551"/>
      <c r="Q109" s="551"/>
      <c r="R109" s="551"/>
      <c r="S109" s="551"/>
      <c r="T109" s="551"/>
      <c r="U109" s="551"/>
      <c r="V109" s="552"/>
      <c r="W109" s="217"/>
      <c r="X109" s="215"/>
      <c r="Y109" s="211"/>
      <c r="Z109" s="216"/>
      <c r="AA109" s="230"/>
      <c r="AB109" s="230"/>
      <c r="AC109" s="230"/>
      <c r="AD109" s="231"/>
      <c r="AE109" s="232"/>
      <c r="AF109" s="232"/>
      <c r="AG109" s="232"/>
      <c r="AH109" s="232"/>
      <c r="AI109" s="232"/>
      <c r="AJ109" s="232"/>
      <c r="AK109" s="232"/>
      <c r="AL109" s="232"/>
      <c r="AM109" s="232"/>
      <c r="AN109" s="232"/>
      <c r="AO109" s="232"/>
      <c r="AP109" s="232"/>
      <c r="AQ109" s="232"/>
      <c r="AR109" s="232"/>
      <c r="AS109" s="232"/>
      <c r="AT109" s="232"/>
      <c r="AU109" s="217"/>
      <c r="AV109" s="215"/>
    </row>
    <row r="110" spans="1:48" ht="15.75" customHeight="1">
      <c r="A110" s="211"/>
      <c r="B110" s="216"/>
      <c r="C110" s="524" t="str">
        <f>C65</f>
        <v>અંગ્રેજી</v>
      </c>
      <c r="D110" s="534"/>
      <c r="E110" s="525"/>
      <c r="F110" s="555">
        <f ca="1">INDIRECT("STUDENTS!T"&amp;($R$1-1)*12+7)</f>
        <v>0</v>
      </c>
      <c r="G110" s="542">
        <f ca="1">INDIRECT("STUDENTS!U"&amp;($R$1-1)*12+7)</f>
        <v>0</v>
      </c>
      <c r="H110" s="543"/>
      <c r="I110" s="543"/>
      <c r="J110" s="543"/>
      <c r="K110" s="543"/>
      <c r="L110" s="543"/>
      <c r="M110" s="543"/>
      <c r="N110" s="544"/>
      <c r="O110" s="551">
        <f ca="1">INDIRECT("STUDENTS!V"&amp;($R$1-1)*12+7)</f>
        <v>0</v>
      </c>
      <c r="P110" s="551"/>
      <c r="Q110" s="551"/>
      <c r="R110" s="551"/>
      <c r="S110" s="551"/>
      <c r="T110" s="551"/>
      <c r="U110" s="551"/>
      <c r="V110" s="552"/>
      <c r="W110" s="217"/>
      <c r="X110" s="215"/>
      <c r="Y110" s="211"/>
      <c r="Z110" s="216"/>
      <c r="AA110" s="470" t="s">
        <v>240</v>
      </c>
      <c r="AB110" s="470"/>
      <c r="AC110" s="470"/>
      <c r="AD110" s="470"/>
      <c r="AE110" s="470"/>
      <c r="AF110" s="470"/>
      <c r="AG110" s="470"/>
      <c r="AH110" s="470"/>
      <c r="AI110" s="470"/>
      <c r="AJ110" s="470"/>
      <c r="AK110" s="470"/>
      <c r="AL110" s="470"/>
      <c r="AM110" s="470"/>
      <c r="AN110" s="470"/>
      <c r="AO110" s="470"/>
      <c r="AP110" s="470"/>
      <c r="AQ110" s="470"/>
      <c r="AR110" s="470"/>
      <c r="AS110" s="470"/>
      <c r="AT110" s="470"/>
      <c r="AU110" s="217"/>
      <c r="AV110" s="215"/>
    </row>
    <row r="111" spans="1:48" ht="15.75" customHeight="1">
      <c r="A111" s="211"/>
      <c r="B111" s="216"/>
      <c r="C111" s="535"/>
      <c r="D111" s="536"/>
      <c r="E111" s="537"/>
      <c r="F111" s="555"/>
      <c r="G111" s="545"/>
      <c r="H111" s="546"/>
      <c r="I111" s="546"/>
      <c r="J111" s="546"/>
      <c r="K111" s="546"/>
      <c r="L111" s="546"/>
      <c r="M111" s="546"/>
      <c r="N111" s="547"/>
      <c r="O111" s="551"/>
      <c r="P111" s="551"/>
      <c r="Q111" s="551"/>
      <c r="R111" s="551"/>
      <c r="S111" s="551"/>
      <c r="T111" s="551"/>
      <c r="U111" s="551"/>
      <c r="V111" s="552"/>
      <c r="W111" s="217"/>
      <c r="X111" s="215"/>
      <c r="Y111" s="211"/>
      <c r="Z111" s="216"/>
      <c r="AA111" s="519" t="s">
        <v>13</v>
      </c>
      <c r="AB111" s="488"/>
      <c r="AC111" s="488" t="s">
        <v>238</v>
      </c>
      <c r="AD111" s="488"/>
      <c r="AE111" s="488"/>
      <c r="AF111" s="488" t="s">
        <v>239</v>
      </c>
      <c r="AG111" s="488"/>
      <c r="AH111" s="488"/>
      <c r="AI111" s="488" t="s">
        <v>31</v>
      </c>
      <c r="AJ111" s="488"/>
      <c r="AK111" s="488"/>
      <c r="AL111" s="488" t="s">
        <v>32</v>
      </c>
      <c r="AM111" s="488"/>
      <c r="AN111" s="488"/>
      <c r="AO111" s="488" t="s">
        <v>16</v>
      </c>
      <c r="AP111" s="488"/>
      <c r="AQ111" s="488"/>
      <c r="AR111" s="488" t="s">
        <v>235</v>
      </c>
      <c r="AS111" s="488"/>
      <c r="AT111" s="490"/>
      <c r="AU111" s="217"/>
      <c r="AV111" s="215"/>
    </row>
    <row r="112" spans="1:48" ht="15.75" customHeight="1">
      <c r="A112" s="211"/>
      <c r="B112" s="216"/>
      <c r="C112" s="535"/>
      <c r="D112" s="536"/>
      <c r="E112" s="537"/>
      <c r="F112" s="555"/>
      <c r="G112" s="545"/>
      <c r="H112" s="546"/>
      <c r="I112" s="546"/>
      <c r="J112" s="546"/>
      <c r="K112" s="546"/>
      <c r="L112" s="546"/>
      <c r="M112" s="546"/>
      <c r="N112" s="547"/>
      <c r="O112" s="551"/>
      <c r="P112" s="551"/>
      <c r="Q112" s="551"/>
      <c r="R112" s="551"/>
      <c r="S112" s="551"/>
      <c r="T112" s="551"/>
      <c r="U112" s="551"/>
      <c r="V112" s="552"/>
      <c r="W112" s="217"/>
      <c r="X112" s="215"/>
      <c r="Y112" s="211"/>
      <c r="Z112" s="216"/>
      <c r="AA112" s="520"/>
      <c r="AB112" s="489"/>
      <c r="AC112" s="489"/>
      <c r="AD112" s="489"/>
      <c r="AE112" s="489"/>
      <c r="AF112" s="489"/>
      <c r="AG112" s="489"/>
      <c r="AH112" s="489"/>
      <c r="AI112" s="489"/>
      <c r="AJ112" s="489"/>
      <c r="AK112" s="489"/>
      <c r="AL112" s="489"/>
      <c r="AM112" s="489"/>
      <c r="AN112" s="489"/>
      <c r="AO112" s="489"/>
      <c r="AP112" s="489"/>
      <c r="AQ112" s="489"/>
      <c r="AR112" s="489"/>
      <c r="AS112" s="489"/>
      <c r="AT112" s="491"/>
      <c r="AU112" s="217"/>
      <c r="AV112" s="215"/>
    </row>
    <row r="113" spans="1:48" ht="15.75" customHeight="1">
      <c r="A113" s="211"/>
      <c r="B113" s="216"/>
      <c r="C113" s="526"/>
      <c r="D113" s="538"/>
      <c r="E113" s="527"/>
      <c r="F113" s="555"/>
      <c r="G113" s="548"/>
      <c r="H113" s="549"/>
      <c r="I113" s="549"/>
      <c r="J113" s="549"/>
      <c r="K113" s="549"/>
      <c r="L113" s="549"/>
      <c r="M113" s="549"/>
      <c r="N113" s="550"/>
      <c r="O113" s="551"/>
      <c r="P113" s="551"/>
      <c r="Q113" s="551"/>
      <c r="R113" s="551"/>
      <c r="S113" s="551"/>
      <c r="T113" s="551"/>
      <c r="U113" s="551"/>
      <c r="V113" s="552"/>
      <c r="W113" s="217"/>
      <c r="X113" s="215"/>
      <c r="Y113" s="211"/>
      <c r="Z113" s="216"/>
      <c r="AA113" s="479">
        <f ca="1">INDIRECT("STUDENTS!AC"&amp;($R$1-1)*12+4)</f>
        <v>0</v>
      </c>
      <c r="AB113" s="480"/>
      <c r="AC113" s="481">
        <f ca="1">INDIRECT("STUDENTS!AD"&amp;($R$1-1)*12+4)</f>
        <v>0</v>
      </c>
      <c r="AD113" s="481"/>
      <c r="AE113" s="481"/>
      <c r="AF113" s="528">
        <f ca="1">INDIRECT("STUDENTS!AE"&amp;($R$1-1)*12+4)</f>
        <v>0</v>
      </c>
      <c r="AG113" s="529"/>
      <c r="AH113" s="530"/>
      <c r="AI113" s="492">
        <f ca="1">INDIRECT("STUDENTS!AF"&amp;($R$1-1)*12+4)</f>
        <v>0</v>
      </c>
      <c r="AJ113" s="493"/>
      <c r="AK113" s="494"/>
      <c r="AL113" s="492">
        <f ca="1">INDIRECT("STUDENTS!AG"&amp;($R$1-1)*12+4)</f>
        <v>0</v>
      </c>
      <c r="AM113" s="493"/>
      <c r="AN113" s="494"/>
      <c r="AO113" s="492">
        <f ca="1">INDIRECT("STUDENTS!AH"&amp;($R$1-1)*12+4)</f>
        <v>0</v>
      </c>
      <c r="AP113" s="493"/>
      <c r="AQ113" s="494"/>
      <c r="AR113" s="481"/>
      <c r="AS113" s="481"/>
      <c r="AT113" s="516"/>
      <c r="AU113" s="217"/>
      <c r="AV113" s="215"/>
    </row>
    <row r="114" spans="1:48" ht="15.75" customHeight="1">
      <c r="A114" s="211"/>
      <c r="B114" s="216"/>
      <c r="C114" s="524" t="str">
        <f>C69</f>
        <v>સા. વિ.</v>
      </c>
      <c r="D114" s="534"/>
      <c r="E114" s="525"/>
      <c r="F114" s="555">
        <f ca="1">INDIRECT("STUDENTS!T"&amp;($R$1-1)*12+8)</f>
        <v>0</v>
      </c>
      <c r="G114" s="542">
        <f ca="1">INDIRECT("STUDENTS!U"&amp;($R$1-1)*12+8)</f>
        <v>0</v>
      </c>
      <c r="H114" s="543"/>
      <c r="I114" s="543"/>
      <c r="J114" s="543"/>
      <c r="K114" s="543"/>
      <c r="L114" s="543"/>
      <c r="M114" s="543"/>
      <c r="N114" s="544"/>
      <c r="O114" s="551">
        <f ca="1">INDIRECT("STUDENTS!V"&amp;($R$1-1)*12+8)</f>
        <v>0</v>
      </c>
      <c r="P114" s="551"/>
      <c r="Q114" s="551"/>
      <c r="R114" s="551"/>
      <c r="S114" s="551"/>
      <c r="T114" s="551"/>
      <c r="U114" s="551"/>
      <c r="V114" s="552"/>
      <c r="W114" s="217"/>
      <c r="X114" s="215"/>
      <c r="Y114" s="211"/>
      <c r="Z114" s="216"/>
      <c r="AA114" s="479"/>
      <c r="AB114" s="480"/>
      <c r="AC114" s="481"/>
      <c r="AD114" s="481"/>
      <c r="AE114" s="481"/>
      <c r="AF114" s="531"/>
      <c r="AG114" s="532"/>
      <c r="AH114" s="533"/>
      <c r="AI114" s="495"/>
      <c r="AJ114" s="496"/>
      <c r="AK114" s="497"/>
      <c r="AL114" s="495"/>
      <c r="AM114" s="496"/>
      <c r="AN114" s="497"/>
      <c r="AO114" s="495"/>
      <c r="AP114" s="496"/>
      <c r="AQ114" s="497"/>
      <c r="AR114" s="481"/>
      <c r="AS114" s="481"/>
      <c r="AT114" s="516"/>
      <c r="AU114" s="217"/>
      <c r="AV114" s="215"/>
    </row>
    <row r="115" spans="1:48" ht="15.75" customHeight="1">
      <c r="A115" s="211"/>
      <c r="B115" s="216"/>
      <c r="C115" s="535"/>
      <c r="D115" s="536"/>
      <c r="E115" s="537"/>
      <c r="F115" s="555"/>
      <c r="G115" s="545"/>
      <c r="H115" s="546"/>
      <c r="I115" s="546"/>
      <c r="J115" s="546"/>
      <c r="K115" s="546"/>
      <c r="L115" s="546"/>
      <c r="M115" s="546"/>
      <c r="N115" s="547"/>
      <c r="O115" s="551"/>
      <c r="P115" s="551"/>
      <c r="Q115" s="551"/>
      <c r="R115" s="551"/>
      <c r="S115" s="551"/>
      <c r="T115" s="551"/>
      <c r="U115" s="551"/>
      <c r="V115" s="552"/>
      <c r="W115" s="217"/>
      <c r="X115" s="215"/>
      <c r="Y115" s="211"/>
      <c r="Z115" s="216"/>
      <c r="AA115" s="524">
        <f ca="1">INDIRECT("STUDENTS!AC"&amp;($R$1-1)*12+6)</f>
        <v>0</v>
      </c>
      <c r="AB115" s="525"/>
      <c r="AC115" s="481">
        <f ca="1">INDIRECT("STUDENTS!AD"&amp;($R$1-1)*12+6)</f>
        <v>0</v>
      </c>
      <c r="AD115" s="481"/>
      <c r="AE115" s="481"/>
      <c r="AF115" s="528">
        <f ca="1">INDIRECT("STUDENTS!AE"&amp;($R$1-1)*12+6)</f>
        <v>0</v>
      </c>
      <c r="AG115" s="529"/>
      <c r="AH115" s="530"/>
      <c r="AI115" s="492">
        <f ca="1">INDIRECT("STUDENTS!AF"&amp;($R$1-1)*12+6)</f>
        <v>0</v>
      </c>
      <c r="AJ115" s="493"/>
      <c r="AK115" s="494"/>
      <c r="AL115" s="492">
        <f ca="1">INDIRECT("STUDENTS!AG"&amp;($R$1-1)*12+6)</f>
        <v>0</v>
      </c>
      <c r="AM115" s="493"/>
      <c r="AN115" s="494"/>
      <c r="AO115" s="492">
        <f ca="1">INDIRECT("STUDENTS!AH"&amp;($R$1-1)*12+6)</f>
        <v>0</v>
      </c>
      <c r="AP115" s="493"/>
      <c r="AQ115" s="494"/>
      <c r="AR115" s="481"/>
      <c r="AS115" s="481"/>
      <c r="AT115" s="516"/>
      <c r="AU115" s="217"/>
      <c r="AV115" s="215"/>
    </row>
    <row r="116" spans="1:48" ht="15.75" customHeight="1">
      <c r="A116" s="211"/>
      <c r="B116" s="216"/>
      <c r="C116" s="535"/>
      <c r="D116" s="536"/>
      <c r="E116" s="537"/>
      <c r="F116" s="555"/>
      <c r="G116" s="545"/>
      <c r="H116" s="546"/>
      <c r="I116" s="546"/>
      <c r="J116" s="546"/>
      <c r="K116" s="546"/>
      <c r="L116" s="546"/>
      <c r="M116" s="546"/>
      <c r="N116" s="547"/>
      <c r="O116" s="551"/>
      <c r="P116" s="551"/>
      <c r="Q116" s="551"/>
      <c r="R116" s="551"/>
      <c r="S116" s="551"/>
      <c r="T116" s="551"/>
      <c r="U116" s="551"/>
      <c r="V116" s="552"/>
      <c r="W116" s="217"/>
      <c r="X116" s="215"/>
      <c r="Y116" s="211"/>
      <c r="Z116" s="216"/>
      <c r="AA116" s="526"/>
      <c r="AB116" s="527"/>
      <c r="AC116" s="481"/>
      <c r="AD116" s="481"/>
      <c r="AE116" s="481"/>
      <c r="AF116" s="531"/>
      <c r="AG116" s="532"/>
      <c r="AH116" s="533"/>
      <c r="AI116" s="495"/>
      <c r="AJ116" s="496"/>
      <c r="AK116" s="497"/>
      <c r="AL116" s="495"/>
      <c r="AM116" s="496"/>
      <c r="AN116" s="497"/>
      <c r="AO116" s="495"/>
      <c r="AP116" s="496"/>
      <c r="AQ116" s="497"/>
      <c r="AR116" s="481"/>
      <c r="AS116" s="481"/>
      <c r="AT116" s="516"/>
      <c r="AU116" s="217"/>
      <c r="AV116" s="215"/>
    </row>
    <row r="117" spans="1:48" ht="15.75" customHeight="1">
      <c r="A117" s="211"/>
      <c r="B117" s="216"/>
      <c r="C117" s="526"/>
      <c r="D117" s="538"/>
      <c r="E117" s="527"/>
      <c r="F117" s="555"/>
      <c r="G117" s="548"/>
      <c r="H117" s="549"/>
      <c r="I117" s="549"/>
      <c r="J117" s="549"/>
      <c r="K117" s="549"/>
      <c r="L117" s="549"/>
      <c r="M117" s="549"/>
      <c r="N117" s="550"/>
      <c r="O117" s="551"/>
      <c r="P117" s="551"/>
      <c r="Q117" s="551"/>
      <c r="R117" s="551"/>
      <c r="S117" s="551"/>
      <c r="T117" s="551"/>
      <c r="U117" s="551"/>
      <c r="V117" s="552"/>
      <c r="W117" s="217"/>
      <c r="X117" s="215"/>
      <c r="Y117" s="211"/>
      <c r="Z117" s="216"/>
      <c r="AA117" s="524">
        <f ca="1">INDIRECT("STUDENTS!AC"&amp;($R$1-1)*12+8)</f>
        <v>0</v>
      </c>
      <c r="AB117" s="525"/>
      <c r="AC117" s="481">
        <f ca="1">INDIRECT("STUDENTS!AD"&amp;($R$1-1)*12+8)</f>
        <v>0</v>
      </c>
      <c r="AD117" s="481"/>
      <c r="AE117" s="481"/>
      <c r="AF117" s="528">
        <f ca="1">INDIRECT("STUDENTS!AE"&amp;($R$1-1)*12+8)</f>
        <v>0</v>
      </c>
      <c r="AG117" s="529"/>
      <c r="AH117" s="530"/>
      <c r="AI117" s="492">
        <f ca="1">INDIRECT("STUDENTS!AF"&amp;($R$1-1)*12+8)</f>
        <v>0</v>
      </c>
      <c r="AJ117" s="493"/>
      <c r="AK117" s="494"/>
      <c r="AL117" s="492">
        <f ca="1">INDIRECT("STUDENTS!AG"&amp;($R$1-1)*12+8)</f>
        <v>0</v>
      </c>
      <c r="AM117" s="493"/>
      <c r="AN117" s="494"/>
      <c r="AO117" s="492">
        <f ca="1">INDIRECT("STUDENTS!AH"&amp;($R$1-1)*12+8)</f>
        <v>0</v>
      </c>
      <c r="AP117" s="493"/>
      <c r="AQ117" s="494"/>
      <c r="AR117" s="481"/>
      <c r="AS117" s="481"/>
      <c r="AT117" s="516"/>
      <c r="AU117" s="217"/>
      <c r="AV117" s="215"/>
    </row>
    <row r="118" spans="1:48" ht="15.75" customHeight="1">
      <c r="A118" s="211"/>
      <c r="B118" s="216"/>
      <c r="C118" s="524" t="str">
        <f>C73</f>
        <v>વિ. અને ટેક્.</v>
      </c>
      <c r="D118" s="534"/>
      <c r="E118" s="525"/>
      <c r="F118" s="555">
        <f ca="1">INDIRECT("STUDENTS!T"&amp;($R$1-1)*12+9)</f>
        <v>0</v>
      </c>
      <c r="G118" s="542">
        <f ca="1">INDIRECT("STUDENTS!U"&amp;($R$1-1)*12+9)</f>
        <v>0</v>
      </c>
      <c r="H118" s="543"/>
      <c r="I118" s="543"/>
      <c r="J118" s="543"/>
      <c r="K118" s="543"/>
      <c r="L118" s="543"/>
      <c r="M118" s="543"/>
      <c r="N118" s="544"/>
      <c r="O118" s="551">
        <f ca="1">INDIRECT("STUDENTS!V"&amp;($R$1-1)*12+9)</f>
        <v>0</v>
      </c>
      <c r="P118" s="551"/>
      <c r="Q118" s="551"/>
      <c r="R118" s="551"/>
      <c r="S118" s="551"/>
      <c r="T118" s="551"/>
      <c r="U118" s="551"/>
      <c r="V118" s="552"/>
      <c r="W118" s="217"/>
      <c r="X118" s="215"/>
      <c r="Y118" s="211"/>
      <c r="Z118" s="216"/>
      <c r="AA118" s="526"/>
      <c r="AB118" s="527"/>
      <c r="AC118" s="481"/>
      <c r="AD118" s="481"/>
      <c r="AE118" s="481"/>
      <c r="AF118" s="531"/>
      <c r="AG118" s="532"/>
      <c r="AH118" s="533"/>
      <c r="AI118" s="495"/>
      <c r="AJ118" s="496"/>
      <c r="AK118" s="497"/>
      <c r="AL118" s="495"/>
      <c r="AM118" s="496"/>
      <c r="AN118" s="497"/>
      <c r="AO118" s="495"/>
      <c r="AP118" s="496"/>
      <c r="AQ118" s="497"/>
      <c r="AR118" s="481"/>
      <c r="AS118" s="481"/>
      <c r="AT118" s="516"/>
      <c r="AU118" s="217"/>
      <c r="AV118" s="215"/>
    </row>
    <row r="119" spans="1:48" ht="15.75" customHeight="1">
      <c r="A119" s="211"/>
      <c r="B119" s="216"/>
      <c r="C119" s="535"/>
      <c r="D119" s="536"/>
      <c r="E119" s="537"/>
      <c r="F119" s="555"/>
      <c r="G119" s="545"/>
      <c r="H119" s="546"/>
      <c r="I119" s="546"/>
      <c r="J119" s="546"/>
      <c r="K119" s="546"/>
      <c r="L119" s="546"/>
      <c r="M119" s="546"/>
      <c r="N119" s="547"/>
      <c r="O119" s="551"/>
      <c r="P119" s="551"/>
      <c r="Q119" s="551"/>
      <c r="R119" s="551"/>
      <c r="S119" s="551"/>
      <c r="T119" s="551"/>
      <c r="U119" s="551"/>
      <c r="V119" s="552"/>
      <c r="W119" s="217"/>
      <c r="X119" s="215"/>
      <c r="Y119" s="211"/>
      <c r="Z119" s="216"/>
      <c r="AA119" s="524">
        <f ca="1">INDIRECT("STUDENTS!AC"&amp;($R$1-1)*12+10)</f>
        <v>0</v>
      </c>
      <c r="AB119" s="525"/>
      <c r="AC119" s="481">
        <f ca="1">INDIRECT("STUDENTS!AD"&amp;($R$1-1)*12+10)</f>
        <v>0</v>
      </c>
      <c r="AD119" s="481"/>
      <c r="AE119" s="481"/>
      <c r="AF119" s="528">
        <f ca="1">INDIRECT("STUDENTS!AE"&amp;($R$1-1)*12+10)</f>
        <v>0</v>
      </c>
      <c r="AG119" s="529"/>
      <c r="AH119" s="530"/>
      <c r="AI119" s="492">
        <f ca="1">INDIRECT("STUDENTS!AF"&amp;($R$1-1)*12+10)</f>
        <v>0</v>
      </c>
      <c r="AJ119" s="493"/>
      <c r="AK119" s="494"/>
      <c r="AL119" s="492">
        <f ca="1">INDIRECT("STUDENTS!AG"&amp;($R$1-1)*12+10)</f>
        <v>0</v>
      </c>
      <c r="AM119" s="493"/>
      <c r="AN119" s="494"/>
      <c r="AO119" s="492">
        <f ca="1">INDIRECT("STUDENTS!AH"&amp;($R$1-1)*12+10)</f>
        <v>0</v>
      </c>
      <c r="AP119" s="493"/>
      <c r="AQ119" s="494"/>
      <c r="AR119" s="481"/>
      <c r="AS119" s="481"/>
      <c r="AT119" s="516"/>
      <c r="AU119" s="217"/>
      <c r="AV119" s="215"/>
    </row>
    <row r="120" spans="1:48" ht="15.75" customHeight="1">
      <c r="A120" s="211"/>
      <c r="B120" s="216"/>
      <c r="C120" s="535"/>
      <c r="D120" s="536"/>
      <c r="E120" s="537"/>
      <c r="F120" s="555"/>
      <c r="G120" s="545"/>
      <c r="H120" s="546"/>
      <c r="I120" s="546"/>
      <c r="J120" s="546"/>
      <c r="K120" s="546"/>
      <c r="L120" s="546"/>
      <c r="M120" s="546"/>
      <c r="N120" s="547"/>
      <c r="O120" s="551"/>
      <c r="P120" s="551"/>
      <c r="Q120" s="551"/>
      <c r="R120" s="551"/>
      <c r="S120" s="551"/>
      <c r="T120" s="551"/>
      <c r="U120" s="551"/>
      <c r="V120" s="552"/>
      <c r="W120" s="217"/>
      <c r="X120" s="215"/>
      <c r="Y120" s="211"/>
      <c r="Z120" s="216"/>
      <c r="AA120" s="526"/>
      <c r="AB120" s="527"/>
      <c r="AC120" s="481"/>
      <c r="AD120" s="481"/>
      <c r="AE120" s="481"/>
      <c r="AF120" s="531"/>
      <c r="AG120" s="532"/>
      <c r="AH120" s="533"/>
      <c r="AI120" s="495"/>
      <c r="AJ120" s="496"/>
      <c r="AK120" s="497"/>
      <c r="AL120" s="495"/>
      <c r="AM120" s="496"/>
      <c r="AN120" s="497"/>
      <c r="AO120" s="495"/>
      <c r="AP120" s="496"/>
      <c r="AQ120" s="497"/>
      <c r="AR120" s="481"/>
      <c r="AS120" s="481"/>
      <c r="AT120" s="516"/>
      <c r="AU120" s="217"/>
      <c r="AV120" s="215"/>
    </row>
    <row r="121" spans="1:48" ht="15.75" customHeight="1">
      <c r="A121" s="211"/>
      <c r="B121" s="216"/>
      <c r="C121" s="526"/>
      <c r="D121" s="538"/>
      <c r="E121" s="527"/>
      <c r="F121" s="555"/>
      <c r="G121" s="548"/>
      <c r="H121" s="549"/>
      <c r="I121" s="549"/>
      <c r="J121" s="549"/>
      <c r="K121" s="549"/>
      <c r="L121" s="549"/>
      <c r="M121" s="549"/>
      <c r="N121" s="550"/>
      <c r="O121" s="551"/>
      <c r="P121" s="551"/>
      <c r="Q121" s="551"/>
      <c r="R121" s="551"/>
      <c r="S121" s="551"/>
      <c r="T121" s="551"/>
      <c r="U121" s="551"/>
      <c r="V121" s="552"/>
      <c r="W121" s="217"/>
      <c r="X121" s="215"/>
      <c r="Y121" s="211"/>
      <c r="Z121" s="216"/>
      <c r="AA121" s="524">
        <f ca="1">INDIRECT("STUDENTS!AC"&amp;($R$1-1)*12+12)</f>
        <v>0</v>
      </c>
      <c r="AB121" s="525"/>
      <c r="AC121" s="481">
        <f ca="1">INDIRECT("STUDENTS!AD"&amp;($R$1-1)*12+12)</f>
        <v>0</v>
      </c>
      <c r="AD121" s="481"/>
      <c r="AE121" s="481"/>
      <c r="AF121" s="528">
        <f ca="1">INDIRECT("STUDENTS!AE"&amp;($R$1-1)*12+12)</f>
        <v>0</v>
      </c>
      <c r="AG121" s="529"/>
      <c r="AH121" s="530"/>
      <c r="AI121" s="492">
        <f ca="1">INDIRECT("STUDENTS!AF"&amp;($R$1-1)*12+12)</f>
        <v>0</v>
      </c>
      <c r="AJ121" s="493"/>
      <c r="AK121" s="494"/>
      <c r="AL121" s="492">
        <f ca="1">INDIRECT("STUDENTS!AG"&amp;($R$1-1)*12+12)</f>
        <v>0</v>
      </c>
      <c r="AM121" s="493"/>
      <c r="AN121" s="494"/>
      <c r="AO121" s="492">
        <f ca="1">INDIRECT("STUDENTS!AH"&amp;($R$1-1)*12+12)</f>
        <v>0</v>
      </c>
      <c r="AP121" s="493"/>
      <c r="AQ121" s="494"/>
      <c r="AR121" s="481"/>
      <c r="AS121" s="481"/>
      <c r="AT121" s="516"/>
      <c r="AU121" s="217"/>
      <c r="AV121" s="215"/>
    </row>
    <row r="122" spans="1:48" ht="15.75" customHeight="1">
      <c r="A122" s="211"/>
      <c r="B122" s="216"/>
      <c r="C122" s="479" t="str">
        <f>C77</f>
        <v>સંસ્કૃત</v>
      </c>
      <c r="D122" s="480"/>
      <c r="E122" s="480"/>
      <c r="F122" s="555">
        <f ca="1">INDIRECT("STUDENTS!T"&amp;($R$1-1)*12+10)</f>
        <v>0</v>
      </c>
      <c r="G122" s="551">
        <f ca="1">INDIRECT("STUDENTS!U"&amp;($R$1-1)*12+10)</f>
        <v>0</v>
      </c>
      <c r="H122" s="551"/>
      <c r="I122" s="551"/>
      <c r="J122" s="551"/>
      <c r="K122" s="551"/>
      <c r="L122" s="551"/>
      <c r="M122" s="551"/>
      <c r="N122" s="551"/>
      <c r="O122" s="551">
        <f ca="1">INDIRECT("STUDENTS!V"&amp;($R$1-1)*12+10)</f>
        <v>0</v>
      </c>
      <c r="P122" s="551"/>
      <c r="Q122" s="551"/>
      <c r="R122" s="551"/>
      <c r="S122" s="551"/>
      <c r="T122" s="551"/>
      <c r="U122" s="551"/>
      <c r="V122" s="552"/>
      <c r="W122" s="217"/>
      <c r="X122" s="215"/>
      <c r="Y122" s="211"/>
      <c r="Z122" s="216"/>
      <c r="AA122" s="580"/>
      <c r="AB122" s="582"/>
      <c r="AC122" s="517"/>
      <c r="AD122" s="517"/>
      <c r="AE122" s="517"/>
      <c r="AF122" s="596"/>
      <c r="AG122" s="597"/>
      <c r="AH122" s="598"/>
      <c r="AI122" s="513"/>
      <c r="AJ122" s="514"/>
      <c r="AK122" s="515"/>
      <c r="AL122" s="513"/>
      <c r="AM122" s="514"/>
      <c r="AN122" s="515"/>
      <c r="AO122" s="513"/>
      <c r="AP122" s="514"/>
      <c r="AQ122" s="515"/>
      <c r="AR122" s="517"/>
      <c r="AS122" s="517"/>
      <c r="AT122" s="518"/>
      <c r="AU122" s="217"/>
      <c r="AV122" s="215"/>
    </row>
    <row r="123" spans="1:48" ht="15.75" customHeight="1">
      <c r="A123" s="211"/>
      <c r="B123" s="216"/>
      <c r="C123" s="479"/>
      <c r="D123" s="480"/>
      <c r="E123" s="480"/>
      <c r="F123" s="555"/>
      <c r="G123" s="551"/>
      <c r="H123" s="551"/>
      <c r="I123" s="551"/>
      <c r="J123" s="551"/>
      <c r="K123" s="551"/>
      <c r="L123" s="551"/>
      <c r="M123" s="551"/>
      <c r="N123" s="551"/>
      <c r="O123" s="551"/>
      <c r="P123" s="551"/>
      <c r="Q123" s="551"/>
      <c r="R123" s="551"/>
      <c r="S123" s="551"/>
      <c r="T123" s="551"/>
      <c r="U123" s="551"/>
      <c r="V123" s="552"/>
      <c r="W123" s="217"/>
      <c r="X123" s="215"/>
      <c r="Y123" s="211"/>
      <c r="Z123" s="216"/>
      <c r="AA123" s="230"/>
      <c r="AB123" s="230"/>
      <c r="AC123" s="230"/>
      <c r="AD123" s="231"/>
      <c r="AE123" s="232"/>
      <c r="AF123" s="232"/>
      <c r="AG123" s="232"/>
      <c r="AH123" s="232"/>
      <c r="AI123" s="232"/>
      <c r="AJ123" s="232"/>
      <c r="AK123" s="232"/>
      <c r="AL123" s="232"/>
      <c r="AM123" s="232"/>
      <c r="AN123" s="232"/>
      <c r="AO123" s="232"/>
      <c r="AP123" s="232"/>
      <c r="AQ123" s="232"/>
      <c r="AR123" s="232"/>
      <c r="AS123" s="232"/>
      <c r="AT123" s="232"/>
      <c r="AU123" s="217"/>
      <c r="AV123" s="215"/>
    </row>
    <row r="124" spans="1:48" ht="15.75" customHeight="1">
      <c r="A124" s="211"/>
      <c r="B124" s="216"/>
      <c r="C124" s="479"/>
      <c r="D124" s="480"/>
      <c r="E124" s="480"/>
      <c r="F124" s="555"/>
      <c r="G124" s="551"/>
      <c r="H124" s="551"/>
      <c r="I124" s="551"/>
      <c r="J124" s="551"/>
      <c r="K124" s="551"/>
      <c r="L124" s="551"/>
      <c r="M124" s="551"/>
      <c r="N124" s="551"/>
      <c r="O124" s="551"/>
      <c r="P124" s="551"/>
      <c r="Q124" s="551"/>
      <c r="R124" s="551"/>
      <c r="S124" s="551"/>
      <c r="T124" s="551"/>
      <c r="U124" s="551"/>
      <c r="V124" s="552"/>
      <c r="W124" s="217"/>
      <c r="X124" s="215"/>
      <c r="Y124" s="211"/>
      <c r="Z124" s="216"/>
      <c r="AA124" s="470" t="s">
        <v>240</v>
      </c>
      <c r="AB124" s="470"/>
      <c r="AC124" s="470"/>
      <c r="AD124" s="470"/>
      <c r="AE124" s="470"/>
      <c r="AF124" s="470"/>
      <c r="AG124" s="470"/>
      <c r="AH124" s="470"/>
      <c r="AI124" s="470"/>
      <c r="AJ124" s="470"/>
      <c r="AK124" s="470"/>
      <c r="AL124" s="470"/>
      <c r="AM124" s="470"/>
      <c r="AN124" s="470"/>
      <c r="AO124" s="470"/>
      <c r="AP124" s="470"/>
      <c r="AQ124" s="470"/>
      <c r="AR124" s="470"/>
      <c r="AS124" s="470"/>
      <c r="AT124" s="470"/>
      <c r="AU124" s="217"/>
      <c r="AV124" s="215"/>
    </row>
    <row r="125" spans="1:48" ht="15.75" customHeight="1">
      <c r="A125" s="211"/>
      <c r="B125" s="216"/>
      <c r="C125" s="524" t="str">
        <f>C80</f>
        <v>ચિત્ર</v>
      </c>
      <c r="D125" s="534"/>
      <c r="E125" s="525"/>
      <c r="F125" s="539">
        <f ca="1">INDIRECT("STUDENTS!T"&amp;($R$1-1)*12+11)</f>
        <v>0</v>
      </c>
      <c r="G125" s="542">
        <f ca="1">INDIRECT("STUDENTS!U"&amp;($R$1-1)*12+11)</f>
        <v>0</v>
      </c>
      <c r="H125" s="543"/>
      <c r="I125" s="543"/>
      <c r="J125" s="543"/>
      <c r="K125" s="543"/>
      <c r="L125" s="543"/>
      <c r="M125" s="543"/>
      <c r="N125" s="544"/>
      <c r="O125" s="551">
        <f ca="1">INDIRECT("STUDENTS!V"&amp;($R$1-1)*12+11)</f>
        <v>0</v>
      </c>
      <c r="P125" s="551"/>
      <c r="Q125" s="551"/>
      <c r="R125" s="551"/>
      <c r="S125" s="551"/>
      <c r="T125" s="551"/>
      <c r="U125" s="551"/>
      <c r="V125" s="552"/>
      <c r="W125" s="217"/>
      <c r="X125" s="215"/>
      <c r="Y125" s="211"/>
      <c r="Z125" s="216"/>
      <c r="AA125" s="519" t="s">
        <v>13</v>
      </c>
      <c r="AB125" s="488"/>
      <c r="AC125" s="488" t="s">
        <v>241</v>
      </c>
      <c r="AD125" s="488"/>
      <c r="AE125" s="488"/>
      <c r="AF125" s="488"/>
      <c r="AG125" s="488"/>
      <c r="AH125" s="488"/>
      <c r="AI125" s="488" t="s">
        <v>242</v>
      </c>
      <c r="AJ125" s="488"/>
      <c r="AK125" s="488"/>
      <c r="AL125" s="488"/>
      <c r="AM125" s="488"/>
      <c r="AN125" s="488"/>
      <c r="AO125" s="488" t="s">
        <v>243</v>
      </c>
      <c r="AP125" s="488"/>
      <c r="AQ125" s="488"/>
      <c r="AR125" s="488" t="s">
        <v>244</v>
      </c>
      <c r="AS125" s="488"/>
      <c r="AT125" s="490"/>
      <c r="AU125" s="217"/>
      <c r="AV125" s="215"/>
    </row>
    <row r="126" spans="1:48" ht="15.75" customHeight="1">
      <c r="A126" s="211"/>
      <c r="B126" s="216"/>
      <c r="C126" s="535"/>
      <c r="D126" s="536"/>
      <c r="E126" s="537"/>
      <c r="F126" s="540"/>
      <c r="G126" s="545"/>
      <c r="H126" s="546"/>
      <c r="I126" s="546"/>
      <c r="J126" s="546"/>
      <c r="K126" s="546"/>
      <c r="L126" s="546"/>
      <c r="M126" s="546"/>
      <c r="N126" s="547"/>
      <c r="O126" s="551"/>
      <c r="P126" s="551"/>
      <c r="Q126" s="551"/>
      <c r="R126" s="551"/>
      <c r="S126" s="551"/>
      <c r="T126" s="551"/>
      <c r="U126" s="551"/>
      <c r="V126" s="552"/>
      <c r="W126" s="217"/>
      <c r="X126" s="215"/>
      <c r="Y126" s="211"/>
      <c r="Z126" s="216"/>
      <c r="AA126" s="520"/>
      <c r="AB126" s="489"/>
      <c r="AC126" s="489"/>
      <c r="AD126" s="489"/>
      <c r="AE126" s="489"/>
      <c r="AF126" s="489"/>
      <c r="AG126" s="489"/>
      <c r="AH126" s="489"/>
      <c r="AI126" s="489"/>
      <c r="AJ126" s="489"/>
      <c r="AK126" s="489"/>
      <c r="AL126" s="489"/>
      <c r="AM126" s="489"/>
      <c r="AN126" s="489"/>
      <c r="AO126" s="489"/>
      <c r="AP126" s="489"/>
      <c r="AQ126" s="489"/>
      <c r="AR126" s="489"/>
      <c r="AS126" s="489"/>
      <c r="AT126" s="491"/>
      <c r="AU126" s="217"/>
      <c r="AV126" s="215"/>
    </row>
    <row r="127" spans="1:48" ht="15.75" customHeight="1">
      <c r="A127" s="211"/>
      <c r="B127" s="216"/>
      <c r="C127" s="526"/>
      <c r="D127" s="538"/>
      <c r="E127" s="527"/>
      <c r="F127" s="541"/>
      <c r="G127" s="548"/>
      <c r="H127" s="549"/>
      <c r="I127" s="549"/>
      <c r="J127" s="549"/>
      <c r="K127" s="549"/>
      <c r="L127" s="549"/>
      <c r="M127" s="549"/>
      <c r="N127" s="550"/>
      <c r="O127" s="551"/>
      <c r="P127" s="551"/>
      <c r="Q127" s="551"/>
      <c r="R127" s="551"/>
      <c r="S127" s="551"/>
      <c r="T127" s="551"/>
      <c r="U127" s="551"/>
      <c r="V127" s="552"/>
      <c r="W127" s="217"/>
      <c r="X127" s="215"/>
      <c r="Y127" s="211"/>
      <c r="Z127" s="216"/>
      <c r="AA127" s="479">
        <v>6</v>
      </c>
      <c r="AB127" s="480"/>
      <c r="AC127" s="600">
        <f ca="1">INDIRECT("STUDENTS!AJ"&amp;($R$1-1)*12+4)</f>
        <v>0</v>
      </c>
      <c r="AD127" s="600"/>
      <c r="AE127" s="600"/>
      <c r="AF127" s="600"/>
      <c r="AG127" s="600"/>
      <c r="AH127" s="600"/>
      <c r="AI127" s="600">
        <f ca="1">INDIRECT("STUDENTS!AK"&amp;($R$1-1)*12+4)</f>
        <v>0</v>
      </c>
      <c r="AJ127" s="600"/>
      <c r="AK127" s="600"/>
      <c r="AL127" s="600"/>
      <c r="AM127" s="600"/>
      <c r="AN127" s="600"/>
      <c r="AO127" s="599"/>
      <c r="AP127" s="599"/>
      <c r="AQ127" s="599"/>
      <c r="AR127" s="481"/>
      <c r="AS127" s="481"/>
      <c r="AT127" s="516"/>
      <c r="AU127" s="217"/>
      <c r="AV127" s="215"/>
    </row>
    <row r="128" spans="1:48" ht="15.75" customHeight="1">
      <c r="A128" s="211"/>
      <c r="B128" s="216"/>
      <c r="C128" s="524" t="str">
        <f>C83</f>
        <v>સંગીત</v>
      </c>
      <c r="D128" s="534"/>
      <c r="E128" s="525"/>
      <c r="F128" s="539">
        <f ca="1">INDIRECT("STUDENTS!T"&amp;($R$1-1)*12+12)</f>
        <v>0</v>
      </c>
      <c r="G128" s="542">
        <f ca="1">INDIRECT("STUDENTS!U"&amp;($R$1-1)*12+12)</f>
        <v>0</v>
      </c>
      <c r="H128" s="543"/>
      <c r="I128" s="543"/>
      <c r="J128" s="543"/>
      <c r="K128" s="543"/>
      <c r="L128" s="543"/>
      <c r="M128" s="543"/>
      <c r="N128" s="544"/>
      <c r="O128" s="551">
        <f ca="1">INDIRECT("STUDENTS!V"&amp;($R$1-1)*12+12)</f>
        <v>0</v>
      </c>
      <c r="P128" s="551"/>
      <c r="Q128" s="551"/>
      <c r="R128" s="551"/>
      <c r="S128" s="551"/>
      <c r="T128" s="551"/>
      <c r="U128" s="551"/>
      <c r="V128" s="552"/>
      <c r="W128" s="217"/>
      <c r="X128" s="215"/>
      <c r="Y128" s="211"/>
      <c r="Z128" s="216"/>
      <c r="AA128" s="479"/>
      <c r="AB128" s="480"/>
      <c r="AC128" s="600"/>
      <c r="AD128" s="600"/>
      <c r="AE128" s="600"/>
      <c r="AF128" s="600"/>
      <c r="AG128" s="600"/>
      <c r="AH128" s="600"/>
      <c r="AI128" s="600"/>
      <c r="AJ128" s="600"/>
      <c r="AK128" s="600"/>
      <c r="AL128" s="600"/>
      <c r="AM128" s="600"/>
      <c r="AN128" s="600"/>
      <c r="AO128" s="599"/>
      <c r="AP128" s="599"/>
      <c r="AQ128" s="599"/>
      <c r="AR128" s="481"/>
      <c r="AS128" s="481"/>
      <c r="AT128" s="516"/>
      <c r="AU128" s="217"/>
      <c r="AV128" s="215"/>
    </row>
    <row r="129" spans="1:48" ht="15.75" customHeight="1">
      <c r="A129" s="211"/>
      <c r="B129" s="216"/>
      <c r="C129" s="535"/>
      <c r="D129" s="536"/>
      <c r="E129" s="537"/>
      <c r="F129" s="540"/>
      <c r="G129" s="545"/>
      <c r="H129" s="546"/>
      <c r="I129" s="546"/>
      <c r="J129" s="546"/>
      <c r="K129" s="546"/>
      <c r="L129" s="546"/>
      <c r="M129" s="546"/>
      <c r="N129" s="547"/>
      <c r="O129" s="551"/>
      <c r="P129" s="551"/>
      <c r="Q129" s="551"/>
      <c r="R129" s="551"/>
      <c r="S129" s="551"/>
      <c r="T129" s="551"/>
      <c r="U129" s="551"/>
      <c r="V129" s="552"/>
      <c r="W129" s="217"/>
      <c r="X129" s="215"/>
      <c r="Y129" s="211"/>
      <c r="Z129" s="216"/>
      <c r="AA129" s="479"/>
      <c r="AB129" s="480"/>
      <c r="AC129" s="600"/>
      <c r="AD129" s="600"/>
      <c r="AE129" s="600"/>
      <c r="AF129" s="600"/>
      <c r="AG129" s="600"/>
      <c r="AH129" s="600"/>
      <c r="AI129" s="600"/>
      <c r="AJ129" s="600"/>
      <c r="AK129" s="600"/>
      <c r="AL129" s="600"/>
      <c r="AM129" s="600"/>
      <c r="AN129" s="600"/>
      <c r="AO129" s="599"/>
      <c r="AP129" s="599"/>
      <c r="AQ129" s="599"/>
      <c r="AR129" s="481"/>
      <c r="AS129" s="481"/>
      <c r="AT129" s="516"/>
      <c r="AU129" s="217"/>
      <c r="AV129" s="215"/>
    </row>
    <row r="130" spans="1:48" ht="15.75" customHeight="1">
      <c r="A130" s="211"/>
      <c r="B130" s="216"/>
      <c r="C130" s="526"/>
      <c r="D130" s="538"/>
      <c r="E130" s="527"/>
      <c r="F130" s="541"/>
      <c r="G130" s="548"/>
      <c r="H130" s="549"/>
      <c r="I130" s="549"/>
      <c r="J130" s="549"/>
      <c r="K130" s="549"/>
      <c r="L130" s="549"/>
      <c r="M130" s="549"/>
      <c r="N130" s="550"/>
      <c r="O130" s="551"/>
      <c r="P130" s="551"/>
      <c r="Q130" s="551"/>
      <c r="R130" s="551"/>
      <c r="S130" s="551"/>
      <c r="T130" s="551"/>
      <c r="U130" s="551"/>
      <c r="V130" s="552"/>
      <c r="W130" s="217"/>
      <c r="X130" s="215"/>
      <c r="Y130" s="211"/>
      <c r="Z130" s="216"/>
      <c r="AA130" s="479">
        <v>7</v>
      </c>
      <c r="AB130" s="480"/>
      <c r="AC130" s="600">
        <f ca="1">INDIRECT("STUDENTS!AJ"&amp;($R$1-1)*12+7)</f>
        <v>0</v>
      </c>
      <c r="AD130" s="600"/>
      <c r="AE130" s="600"/>
      <c r="AF130" s="600"/>
      <c r="AG130" s="600"/>
      <c r="AH130" s="600"/>
      <c r="AI130" s="600">
        <f ca="1">INDIRECT("STUDENTS!AK"&amp;($R$1-1)*12+7)</f>
        <v>0</v>
      </c>
      <c r="AJ130" s="600"/>
      <c r="AK130" s="600"/>
      <c r="AL130" s="600"/>
      <c r="AM130" s="600"/>
      <c r="AN130" s="600"/>
      <c r="AO130" s="599"/>
      <c r="AP130" s="599"/>
      <c r="AQ130" s="599"/>
      <c r="AR130" s="481"/>
      <c r="AS130" s="481"/>
      <c r="AT130" s="516"/>
      <c r="AU130" s="217"/>
      <c r="AV130" s="215"/>
    </row>
    <row r="131" spans="1:48" ht="15.75" customHeight="1">
      <c r="A131" s="211"/>
      <c r="B131" s="216"/>
      <c r="C131" s="524" t="str">
        <f>C86</f>
        <v>શા.શિ.</v>
      </c>
      <c r="D131" s="534"/>
      <c r="E131" s="525"/>
      <c r="F131" s="539">
        <f ca="1">INDIRECT("STUDENTS!T"&amp;($R$1-1)*12+13)</f>
        <v>0</v>
      </c>
      <c r="G131" s="542">
        <f ca="1">INDIRECT("STUDENTS!U"&amp;($R$1-1)*12+13)</f>
        <v>0</v>
      </c>
      <c r="H131" s="543"/>
      <c r="I131" s="543"/>
      <c r="J131" s="543"/>
      <c r="K131" s="543"/>
      <c r="L131" s="543"/>
      <c r="M131" s="543"/>
      <c r="N131" s="544"/>
      <c r="O131" s="551">
        <f ca="1">INDIRECT("STUDENTS!V"&amp;($R$1-1)*12+13)</f>
        <v>0</v>
      </c>
      <c r="P131" s="551"/>
      <c r="Q131" s="551"/>
      <c r="R131" s="551"/>
      <c r="S131" s="551"/>
      <c r="T131" s="551"/>
      <c r="U131" s="551"/>
      <c r="V131" s="552"/>
      <c r="W131" s="217"/>
      <c r="X131" s="215"/>
      <c r="Y131" s="211"/>
      <c r="Z131" s="216"/>
      <c r="AA131" s="479"/>
      <c r="AB131" s="480"/>
      <c r="AC131" s="600"/>
      <c r="AD131" s="600"/>
      <c r="AE131" s="600"/>
      <c r="AF131" s="600"/>
      <c r="AG131" s="600"/>
      <c r="AH131" s="600"/>
      <c r="AI131" s="600"/>
      <c r="AJ131" s="600"/>
      <c r="AK131" s="600"/>
      <c r="AL131" s="600"/>
      <c r="AM131" s="600"/>
      <c r="AN131" s="600"/>
      <c r="AO131" s="599"/>
      <c r="AP131" s="599"/>
      <c r="AQ131" s="599"/>
      <c r="AR131" s="481"/>
      <c r="AS131" s="481"/>
      <c r="AT131" s="516"/>
      <c r="AU131" s="217"/>
      <c r="AV131" s="215"/>
    </row>
    <row r="132" spans="1:48" ht="15.75" customHeight="1">
      <c r="A132" s="211"/>
      <c r="B132" s="216"/>
      <c r="C132" s="535"/>
      <c r="D132" s="536"/>
      <c r="E132" s="537"/>
      <c r="F132" s="540"/>
      <c r="G132" s="545"/>
      <c r="H132" s="546"/>
      <c r="I132" s="546"/>
      <c r="J132" s="546"/>
      <c r="K132" s="546"/>
      <c r="L132" s="546"/>
      <c r="M132" s="546"/>
      <c r="N132" s="547"/>
      <c r="O132" s="551"/>
      <c r="P132" s="551"/>
      <c r="Q132" s="551"/>
      <c r="R132" s="551"/>
      <c r="S132" s="551"/>
      <c r="T132" s="551"/>
      <c r="U132" s="551"/>
      <c r="V132" s="552"/>
      <c r="W132" s="217"/>
      <c r="X132" s="215"/>
      <c r="Y132" s="211"/>
      <c r="Z132" s="216"/>
      <c r="AA132" s="479"/>
      <c r="AB132" s="480"/>
      <c r="AC132" s="600"/>
      <c r="AD132" s="600"/>
      <c r="AE132" s="600"/>
      <c r="AF132" s="600"/>
      <c r="AG132" s="600"/>
      <c r="AH132" s="600"/>
      <c r="AI132" s="600"/>
      <c r="AJ132" s="600"/>
      <c r="AK132" s="600"/>
      <c r="AL132" s="600"/>
      <c r="AM132" s="600"/>
      <c r="AN132" s="600"/>
      <c r="AO132" s="599"/>
      <c r="AP132" s="599"/>
      <c r="AQ132" s="599"/>
      <c r="AR132" s="481"/>
      <c r="AS132" s="481"/>
      <c r="AT132" s="516"/>
      <c r="AU132" s="217"/>
      <c r="AV132" s="215"/>
    </row>
    <row r="133" spans="1:48" ht="15.75" customHeight="1">
      <c r="A133" s="211"/>
      <c r="B133" s="216"/>
      <c r="C133" s="526"/>
      <c r="D133" s="538"/>
      <c r="E133" s="527"/>
      <c r="F133" s="541"/>
      <c r="G133" s="548"/>
      <c r="H133" s="549"/>
      <c r="I133" s="549"/>
      <c r="J133" s="549"/>
      <c r="K133" s="549"/>
      <c r="L133" s="549"/>
      <c r="M133" s="549"/>
      <c r="N133" s="550"/>
      <c r="O133" s="551"/>
      <c r="P133" s="551"/>
      <c r="Q133" s="551"/>
      <c r="R133" s="551"/>
      <c r="S133" s="551"/>
      <c r="T133" s="551"/>
      <c r="U133" s="551"/>
      <c r="V133" s="552"/>
      <c r="W133" s="217"/>
      <c r="X133" s="215"/>
      <c r="Y133" s="211"/>
      <c r="Z133" s="216"/>
      <c r="AA133" s="479">
        <v>8</v>
      </c>
      <c r="AB133" s="480"/>
      <c r="AC133" s="600">
        <f ca="1">INDIRECT("STUDENTS!AJ"&amp;($R$1-1)*12+10)</f>
        <v>0</v>
      </c>
      <c r="AD133" s="600"/>
      <c r="AE133" s="600"/>
      <c r="AF133" s="600"/>
      <c r="AG133" s="600"/>
      <c r="AH133" s="600"/>
      <c r="AI133" s="600">
        <f ca="1">INDIRECT("STUDENTS!AK"&amp;($R$1-1)*12+10)</f>
        <v>0</v>
      </c>
      <c r="AJ133" s="600"/>
      <c r="AK133" s="600"/>
      <c r="AL133" s="600"/>
      <c r="AM133" s="600"/>
      <c r="AN133" s="600"/>
      <c r="AO133" s="599"/>
      <c r="AP133" s="599"/>
      <c r="AQ133" s="599"/>
      <c r="AR133" s="481"/>
      <c r="AS133" s="481"/>
      <c r="AT133" s="516"/>
      <c r="AU133" s="217"/>
      <c r="AV133" s="215"/>
    </row>
    <row r="134" spans="1:48" ht="15.75" customHeight="1">
      <c r="A134" s="211"/>
      <c r="B134" s="216"/>
      <c r="C134" s="524" t="str">
        <f>C89</f>
        <v>કાર્યાનુભવ</v>
      </c>
      <c r="D134" s="534"/>
      <c r="E134" s="525"/>
      <c r="F134" s="539">
        <f ca="1">INDIRECT("STUDENTS!T"&amp;($R$1-1)*12+14)</f>
        <v>0</v>
      </c>
      <c r="G134" s="542">
        <f ca="1">INDIRECT("STUDENTS!U"&amp;($R$1-1)*12+14)</f>
        <v>0</v>
      </c>
      <c r="H134" s="543"/>
      <c r="I134" s="543"/>
      <c r="J134" s="543"/>
      <c r="K134" s="543"/>
      <c r="L134" s="543"/>
      <c r="M134" s="543"/>
      <c r="N134" s="544"/>
      <c r="O134" s="551">
        <f ca="1">INDIRECT("STUDENTS!V"&amp;($R$1-1)*12+14)</f>
        <v>0</v>
      </c>
      <c r="P134" s="551"/>
      <c r="Q134" s="551"/>
      <c r="R134" s="551"/>
      <c r="S134" s="551"/>
      <c r="T134" s="551"/>
      <c r="U134" s="551"/>
      <c r="V134" s="552"/>
      <c r="W134" s="217"/>
      <c r="X134" s="215"/>
      <c r="Y134" s="211"/>
      <c r="Z134" s="216"/>
      <c r="AA134" s="479"/>
      <c r="AB134" s="480"/>
      <c r="AC134" s="600"/>
      <c r="AD134" s="600"/>
      <c r="AE134" s="600"/>
      <c r="AF134" s="600"/>
      <c r="AG134" s="600"/>
      <c r="AH134" s="600"/>
      <c r="AI134" s="600"/>
      <c r="AJ134" s="600"/>
      <c r="AK134" s="600"/>
      <c r="AL134" s="600"/>
      <c r="AM134" s="600"/>
      <c r="AN134" s="600"/>
      <c r="AO134" s="599"/>
      <c r="AP134" s="599"/>
      <c r="AQ134" s="599"/>
      <c r="AR134" s="481"/>
      <c r="AS134" s="481"/>
      <c r="AT134" s="516"/>
      <c r="AU134" s="217"/>
      <c r="AV134" s="215"/>
    </row>
    <row r="135" spans="1:48" ht="15.75" customHeight="1">
      <c r="A135" s="211"/>
      <c r="B135" s="216"/>
      <c r="C135" s="535"/>
      <c r="D135" s="536"/>
      <c r="E135" s="537"/>
      <c r="F135" s="540"/>
      <c r="G135" s="545"/>
      <c r="H135" s="546"/>
      <c r="I135" s="546"/>
      <c r="J135" s="546"/>
      <c r="K135" s="546"/>
      <c r="L135" s="546"/>
      <c r="M135" s="546"/>
      <c r="N135" s="547"/>
      <c r="O135" s="551"/>
      <c r="P135" s="551"/>
      <c r="Q135" s="551"/>
      <c r="R135" s="551"/>
      <c r="S135" s="551"/>
      <c r="T135" s="551"/>
      <c r="U135" s="551"/>
      <c r="V135" s="552"/>
      <c r="W135" s="217"/>
      <c r="X135" s="215"/>
      <c r="Y135" s="211"/>
      <c r="Z135" s="216"/>
      <c r="AA135" s="571"/>
      <c r="AB135" s="572"/>
      <c r="AC135" s="601"/>
      <c r="AD135" s="601"/>
      <c r="AE135" s="601"/>
      <c r="AF135" s="601"/>
      <c r="AG135" s="601"/>
      <c r="AH135" s="601"/>
      <c r="AI135" s="601"/>
      <c r="AJ135" s="601"/>
      <c r="AK135" s="601"/>
      <c r="AL135" s="601"/>
      <c r="AM135" s="601"/>
      <c r="AN135" s="601"/>
      <c r="AO135" s="602"/>
      <c r="AP135" s="602"/>
      <c r="AQ135" s="602"/>
      <c r="AR135" s="517"/>
      <c r="AS135" s="517"/>
      <c r="AT135" s="518"/>
      <c r="AU135" s="217"/>
      <c r="AV135" s="215"/>
    </row>
    <row r="136" spans="1:48" ht="15.75" customHeight="1">
      <c r="A136" s="211"/>
      <c r="B136" s="216"/>
      <c r="C136" s="580"/>
      <c r="D136" s="581"/>
      <c r="E136" s="582"/>
      <c r="F136" s="573"/>
      <c r="G136" s="574"/>
      <c r="H136" s="575"/>
      <c r="I136" s="575"/>
      <c r="J136" s="575"/>
      <c r="K136" s="575"/>
      <c r="L136" s="575"/>
      <c r="M136" s="575"/>
      <c r="N136" s="576"/>
      <c r="O136" s="577"/>
      <c r="P136" s="577"/>
      <c r="Q136" s="577"/>
      <c r="R136" s="577"/>
      <c r="S136" s="577"/>
      <c r="T136" s="577"/>
      <c r="U136" s="577"/>
      <c r="V136" s="578"/>
      <c r="W136" s="217"/>
      <c r="X136" s="215"/>
      <c r="Y136" s="211"/>
      <c r="Z136" s="216"/>
      <c r="AA136" s="230"/>
      <c r="AB136" s="230"/>
      <c r="AC136" s="230"/>
      <c r="AD136" s="230"/>
      <c r="AE136" s="230"/>
      <c r="AF136" s="230"/>
      <c r="AG136" s="230"/>
      <c r="AH136" s="230"/>
      <c r="AI136" s="230"/>
      <c r="AJ136" s="230"/>
      <c r="AK136" s="230"/>
      <c r="AL136" s="230"/>
      <c r="AM136" s="230"/>
      <c r="AN136" s="230"/>
      <c r="AO136" s="230"/>
      <c r="AP136" s="230"/>
      <c r="AQ136" s="230"/>
      <c r="AR136" s="230"/>
      <c r="AS136" s="230"/>
      <c r="AT136" s="230"/>
      <c r="AU136" s="217"/>
      <c r="AV136" s="215"/>
    </row>
    <row r="137" spans="1:48" ht="27.75" customHeight="1" thickBot="1">
      <c r="A137" s="211"/>
      <c r="B137" s="223"/>
      <c r="C137" s="224"/>
      <c r="D137" s="224"/>
      <c r="E137" s="224"/>
      <c r="F137" s="224"/>
      <c r="G137" s="224"/>
      <c r="H137" s="224"/>
      <c r="I137" s="224"/>
      <c r="J137" s="224"/>
      <c r="K137" s="224"/>
      <c r="L137" s="224"/>
      <c r="M137" s="224"/>
      <c r="N137" s="224"/>
      <c r="O137" s="224"/>
      <c r="P137" s="224"/>
      <c r="Q137" s="224"/>
      <c r="R137" s="224"/>
      <c r="S137" s="224"/>
      <c r="T137" s="224"/>
      <c r="U137" s="224"/>
      <c r="V137" s="224"/>
      <c r="W137" s="225"/>
      <c r="X137" s="215"/>
      <c r="Y137" s="211"/>
      <c r="Z137" s="223"/>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5"/>
      <c r="AV137" s="215"/>
    </row>
    <row r="138" spans="1:48" ht="15.75" customHeight="1">
      <c r="A138" s="226"/>
      <c r="B138" s="227"/>
      <c r="C138" s="227"/>
      <c r="D138" s="227"/>
      <c r="E138" s="227"/>
      <c r="F138" s="227"/>
      <c r="G138" s="227"/>
      <c r="H138" s="227"/>
      <c r="I138" s="227"/>
      <c r="J138" s="227"/>
      <c r="K138" s="227"/>
      <c r="L138" s="227"/>
      <c r="M138" s="227"/>
      <c r="N138" s="227"/>
      <c r="O138" s="227"/>
      <c r="P138" s="227"/>
      <c r="Q138" s="227"/>
      <c r="R138" s="227"/>
      <c r="S138" s="227"/>
      <c r="T138" s="227"/>
      <c r="U138" s="227"/>
      <c r="V138" s="227"/>
      <c r="W138" s="227"/>
      <c r="X138" s="228"/>
      <c r="Y138" s="226"/>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c r="AU138" s="227"/>
      <c r="AV138" s="228"/>
    </row>
    <row r="140" spans="1:48" ht="15.75" thickBot="1">
      <c r="A140" s="208"/>
      <c r="B140" s="209"/>
      <c r="C140" s="209"/>
      <c r="D140" s="209"/>
      <c r="E140" s="209"/>
      <c r="F140" s="209"/>
      <c r="G140" s="209"/>
      <c r="H140" s="209"/>
      <c r="I140" s="209"/>
      <c r="J140" s="209"/>
      <c r="K140" s="209"/>
      <c r="L140" s="209"/>
      <c r="M140" s="209"/>
      <c r="N140" s="209"/>
      <c r="O140" s="209"/>
      <c r="P140" s="209"/>
      <c r="Q140" s="209"/>
      <c r="R140" s="209"/>
      <c r="S140" s="209"/>
      <c r="T140" s="209"/>
      <c r="U140" s="209"/>
      <c r="V140" s="209"/>
      <c r="W140" s="209"/>
      <c r="X140" s="210"/>
    </row>
    <row r="141" spans="1:48">
      <c r="A141" s="211"/>
      <c r="B141" s="212"/>
      <c r="C141" s="213"/>
      <c r="D141" s="213"/>
      <c r="E141" s="213"/>
      <c r="F141" s="213"/>
      <c r="G141" s="213"/>
      <c r="H141" s="213"/>
      <c r="I141" s="213"/>
      <c r="J141" s="213"/>
      <c r="K141" s="213"/>
      <c r="L141" s="213"/>
      <c r="M141" s="213"/>
      <c r="N141" s="213"/>
      <c r="O141" s="213"/>
      <c r="P141" s="213"/>
      <c r="Q141" s="213"/>
      <c r="R141" s="213"/>
      <c r="S141" s="213"/>
      <c r="T141" s="213"/>
      <c r="U141" s="213"/>
      <c r="V141" s="213"/>
      <c r="W141" s="214"/>
      <c r="X141" s="215"/>
    </row>
    <row r="142" spans="1:48" ht="18" customHeight="1">
      <c r="A142" s="211"/>
      <c r="B142" s="216"/>
      <c r="C142" s="470" t="s">
        <v>247</v>
      </c>
      <c r="D142" s="470"/>
      <c r="E142" s="470"/>
      <c r="F142" s="470"/>
      <c r="G142" s="470"/>
      <c r="H142" s="470"/>
      <c r="I142" s="470"/>
      <c r="J142" s="470"/>
      <c r="K142" s="470"/>
      <c r="L142" s="470"/>
      <c r="M142" s="470"/>
      <c r="N142" s="470"/>
      <c r="O142" s="470"/>
      <c r="P142" s="470"/>
      <c r="Q142" s="470"/>
      <c r="R142" s="470"/>
      <c r="S142" s="470"/>
      <c r="T142" s="470"/>
      <c r="U142" s="470"/>
      <c r="V142" s="470"/>
      <c r="W142" s="217"/>
      <c r="X142" s="215"/>
    </row>
    <row r="143" spans="1:48" ht="15.75" customHeight="1">
      <c r="A143" s="211"/>
      <c r="B143" s="216"/>
      <c r="C143" s="519">
        <v>1</v>
      </c>
      <c r="D143" s="606" t="str">
        <f>STUDENTS!AM4</f>
        <v>શાળાનું નામ</v>
      </c>
      <c r="E143" s="606"/>
      <c r="F143" s="606"/>
      <c r="G143" s="606"/>
      <c r="H143" s="608">
        <f ca="1">INDIRECT("STUDENTS!AN"&amp;($R$1-1)*12+4)</f>
        <v>0</v>
      </c>
      <c r="I143" s="608"/>
      <c r="J143" s="608"/>
      <c r="K143" s="608"/>
      <c r="L143" s="608"/>
      <c r="M143" s="608"/>
      <c r="N143" s="608"/>
      <c r="O143" s="608"/>
      <c r="P143" s="608"/>
      <c r="Q143" s="608"/>
      <c r="R143" s="608"/>
      <c r="S143" s="608"/>
      <c r="T143" s="608"/>
      <c r="U143" s="608"/>
      <c r="V143" s="609"/>
      <c r="W143" s="217"/>
      <c r="X143" s="215"/>
    </row>
    <row r="144" spans="1:48" ht="15.75" customHeight="1">
      <c r="A144" s="211"/>
      <c r="B144" s="216"/>
      <c r="C144" s="520"/>
      <c r="D144" s="607"/>
      <c r="E144" s="607"/>
      <c r="F144" s="607"/>
      <c r="G144" s="607"/>
      <c r="H144" s="604"/>
      <c r="I144" s="604"/>
      <c r="J144" s="604"/>
      <c r="K144" s="604"/>
      <c r="L144" s="604"/>
      <c r="M144" s="604"/>
      <c r="N144" s="604"/>
      <c r="O144" s="604"/>
      <c r="P144" s="604"/>
      <c r="Q144" s="604"/>
      <c r="R144" s="604"/>
      <c r="S144" s="604"/>
      <c r="T144" s="604"/>
      <c r="U144" s="604"/>
      <c r="V144" s="605"/>
      <c r="W144" s="217"/>
      <c r="X144" s="215"/>
    </row>
    <row r="145" spans="1:24" ht="15.75" customHeight="1">
      <c r="A145" s="211"/>
      <c r="B145" s="216"/>
      <c r="C145" s="520"/>
      <c r="D145" s="480" t="str">
        <f>STUDENTS!AM5</f>
        <v>સરનામું</v>
      </c>
      <c r="E145" s="480"/>
      <c r="F145" s="480"/>
      <c r="G145" s="480"/>
      <c r="H145" s="604">
        <f ca="1">INDIRECT("STUDENTS!AN"&amp;($R$1-1)*12+5)</f>
        <v>0</v>
      </c>
      <c r="I145" s="604"/>
      <c r="J145" s="604"/>
      <c r="K145" s="604"/>
      <c r="L145" s="604"/>
      <c r="M145" s="604"/>
      <c r="N145" s="604"/>
      <c r="O145" s="604"/>
      <c r="P145" s="604"/>
      <c r="Q145" s="604"/>
      <c r="R145" s="604"/>
      <c r="S145" s="604"/>
      <c r="T145" s="604"/>
      <c r="U145" s="604"/>
      <c r="V145" s="605"/>
      <c r="W145" s="217"/>
      <c r="X145" s="215"/>
    </row>
    <row r="146" spans="1:24" ht="15.75" customHeight="1">
      <c r="A146" s="211"/>
      <c r="B146" s="216"/>
      <c r="C146" s="520"/>
      <c r="D146" s="480"/>
      <c r="E146" s="480"/>
      <c r="F146" s="480"/>
      <c r="G146" s="480"/>
      <c r="H146" s="604"/>
      <c r="I146" s="604"/>
      <c r="J146" s="604"/>
      <c r="K146" s="604"/>
      <c r="L146" s="604"/>
      <c r="M146" s="604"/>
      <c r="N146" s="604"/>
      <c r="O146" s="604"/>
      <c r="P146" s="604"/>
      <c r="Q146" s="604"/>
      <c r="R146" s="604"/>
      <c r="S146" s="604"/>
      <c r="T146" s="604"/>
      <c r="U146" s="604"/>
      <c r="V146" s="605"/>
      <c r="W146" s="217"/>
      <c r="X146" s="215"/>
    </row>
    <row r="147" spans="1:24" ht="15.75" customHeight="1">
      <c r="A147" s="211"/>
      <c r="B147" s="216"/>
      <c r="C147" s="520"/>
      <c r="D147" s="480" t="str">
        <f>STUDENTS!AM6</f>
        <v>પ્રવેશ તારીખ</v>
      </c>
      <c r="E147" s="480"/>
      <c r="F147" s="480"/>
      <c r="G147" s="480"/>
      <c r="H147" s="603">
        <f ca="1">INDIRECT("STUDENTS!AN"&amp;($R$1-1)*12+6)</f>
        <v>0</v>
      </c>
      <c r="I147" s="603"/>
      <c r="J147" s="603"/>
      <c r="K147" s="603"/>
      <c r="L147" s="480" t="s">
        <v>13</v>
      </c>
      <c r="M147" s="480"/>
      <c r="N147" s="480"/>
      <c r="O147" s="481">
        <f ca="1">INDIRECT("STUDENTS!AP"&amp;($R$1-1)*12+6)</f>
        <v>0</v>
      </c>
      <c r="P147" s="481"/>
      <c r="Q147" s="476" t="s">
        <v>212</v>
      </c>
      <c r="R147" s="476"/>
      <c r="S147" s="476"/>
      <c r="T147" s="481">
        <f ca="1">INDIRECT("STUDENTS!AP"&amp;($R$1-1)*12+5)</f>
        <v>0</v>
      </c>
      <c r="U147" s="481"/>
      <c r="V147" s="516"/>
      <c r="W147" s="217"/>
      <c r="X147" s="215"/>
    </row>
    <row r="148" spans="1:24" ht="15.75" customHeight="1">
      <c r="A148" s="211"/>
      <c r="B148" s="216"/>
      <c r="C148" s="520"/>
      <c r="D148" s="480" t="str">
        <f>STUDENTS!AM7</f>
        <v>શા. છો.તારીખ</v>
      </c>
      <c r="E148" s="480"/>
      <c r="F148" s="480"/>
      <c r="G148" s="480"/>
      <c r="H148" s="603">
        <f ca="1">INDIRECT("STUDENTS!AN"&amp;($R$1-1)*12+7)</f>
        <v>0</v>
      </c>
      <c r="I148" s="603"/>
      <c r="J148" s="603"/>
      <c r="K148" s="603"/>
      <c r="L148" s="480" t="s">
        <v>13</v>
      </c>
      <c r="M148" s="480"/>
      <c r="N148" s="480"/>
      <c r="O148" s="481">
        <f ca="1">INDIRECT("STUDENTS!AP"&amp;($R$1-1)*12+7)</f>
        <v>0</v>
      </c>
      <c r="P148" s="481"/>
      <c r="Q148" s="476" t="s">
        <v>248</v>
      </c>
      <c r="R148" s="476"/>
      <c r="S148" s="476"/>
      <c r="T148" s="481">
        <f ca="1">INDIRECT("STUDENTS!AP"&amp;($R$1-1)*12+8)</f>
        <v>0</v>
      </c>
      <c r="U148" s="481"/>
      <c r="V148" s="516"/>
      <c r="W148" s="217"/>
      <c r="X148" s="215"/>
    </row>
    <row r="149" spans="1:24" ht="15.75" customHeight="1">
      <c r="A149" s="211"/>
      <c r="B149" s="216"/>
      <c r="C149" s="520"/>
      <c r="D149" s="480" t="str">
        <f>STUDENTS!AM13</f>
        <v>શા. છો. કારણ</v>
      </c>
      <c r="E149" s="480"/>
      <c r="F149" s="480"/>
      <c r="G149" s="480"/>
      <c r="H149" s="481">
        <f ca="1">INDIRECT("STUDENTS!AN"&amp;($R$1-1)*12+8)</f>
        <v>0</v>
      </c>
      <c r="I149" s="481"/>
      <c r="J149" s="481"/>
      <c r="K149" s="481"/>
      <c r="L149" s="481"/>
      <c r="M149" s="481"/>
      <c r="N149" s="481"/>
      <c r="O149" s="481"/>
      <c r="P149" s="481"/>
      <c r="Q149" s="481"/>
      <c r="R149" s="481"/>
      <c r="S149" s="481"/>
      <c r="T149" s="481"/>
      <c r="U149" s="481"/>
      <c r="V149" s="516"/>
      <c r="W149" s="217"/>
      <c r="X149" s="215"/>
    </row>
    <row r="150" spans="1:24" ht="15.75" customHeight="1">
      <c r="A150" s="211"/>
      <c r="B150" s="216"/>
      <c r="C150" s="610"/>
      <c r="D150" s="572"/>
      <c r="E150" s="572"/>
      <c r="F150" s="572"/>
      <c r="G150" s="572"/>
      <c r="H150" s="517"/>
      <c r="I150" s="517"/>
      <c r="J150" s="517"/>
      <c r="K150" s="517"/>
      <c r="L150" s="517"/>
      <c r="M150" s="517"/>
      <c r="N150" s="517"/>
      <c r="O150" s="517"/>
      <c r="P150" s="517"/>
      <c r="Q150" s="517"/>
      <c r="R150" s="517"/>
      <c r="S150" s="517"/>
      <c r="T150" s="517"/>
      <c r="U150" s="517"/>
      <c r="V150" s="518"/>
      <c r="W150" s="217"/>
      <c r="X150" s="215"/>
    </row>
    <row r="151" spans="1:24" ht="15.75" customHeight="1">
      <c r="A151" s="211"/>
      <c r="B151" s="216"/>
      <c r="C151" s="230"/>
      <c r="D151" s="230"/>
      <c r="E151" s="230"/>
      <c r="F151" s="230"/>
      <c r="G151" s="230"/>
      <c r="H151" s="230"/>
      <c r="I151" s="230"/>
      <c r="J151" s="230"/>
      <c r="K151" s="230"/>
      <c r="L151" s="230"/>
      <c r="M151" s="230"/>
      <c r="N151" s="230"/>
      <c r="O151" s="230"/>
      <c r="P151" s="230"/>
      <c r="Q151" s="230"/>
      <c r="R151" s="230"/>
      <c r="S151" s="230"/>
      <c r="T151" s="230"/>
      <c r="U151" s="230"/>
      <c r="V151" s="230"/>
      <c r="W151" s="217"/>
      <c r="X151" s="215"/>
    </row>
    <row r="152" spans="1:24" ht="15.75" customHeight="1">
      <c r="A152" s="211"/>
      <c r="B152" s="216"/>
      <c r="C152" s="519">
        <v>2</v>
      </c>
      <c r="D152" s="606" t="str">
        <f>STUDENTS!AM13</f>
        <v>શા. છો. કારણ</v>
      </c>
      <c r="E152" s="606"/>
      <c r="F152" s="606"/>
      <c r="G152" s="606"/>
      <c r="H152" s="608">
        <f ca="1">INDIRECT("STUDENTS!AN"&amp;($R$1-1)*12+9)</f>
        <v>0</v>
      </c>
      <c r="I152" s="608"/>
      <c r="J152" s="608"/>
      <c r="K152" s="608"/>
      <c r="L152" s="608"/>
      <c r="M152" s="608"/>
      <c r="N152" s="608"/>
      <c r="O152" s="608"/>
      <c r="P152" s="608"/>
      <c r="Q152" s="608"/>
      <c r="R152" s="608"/>
      <c r="S152" s="608"/>
      <c r="T152" s="608"/>
      <c r="U152" s="608"/>
      <c r="V152" s="609"/>
      <c r="W152" s="217"/>
      <c r="X152" s="215"/>
    </row>
    <row r="153" spans="1:24" ht="15.75" customHeight="1">
      <c r="A153" s="211"/>
      <c r="B153" s="216"/>
      <c r="C153" s="520"/>
      <c r="D153" s="607"/>
      <c r="E153" s="607"/>
      <c r="F153" s="607"/>
      <c r="G153" s="607"/>
      <c r="H153" s="604"/>
      <c r="I153" s="604"/>
      <c r="J153" s="604"/>
      <c r="K153" s="604"/>
      <c r="L153" s="604"/>
      <c r="M153" s="604"/>
      <c r="N153" s="604"/>
      <c r="O153" s="604"/>
      <c r="P153" s="604"/>
      <c r="Q153" s="604"/>
      <c r="R153" s="604"/>
      <c r="S153" s="604"/>
      <c r="T153" s="604"/>
      <c r="U153" s="604"/>
      <c r="V153" s="605"/>
      <c r="W153" s="217"/>
      <c r="X153" s="215"/>
    </row>
    <row r="154" spans="1:24" ht="15.75" customHeight="1">
      <c r="A154" s="211"/>
      <c r="B154" s="216"/>
      <c r="C154" s="520"/>
      <c r="D154" s="480">
        <f>STUDENTS!AM14</f>
        <v>0</v>
      </c>
      <c r="E154" s="480"/>
      <c r="F154" s="480"/>
      <c r="G154" s="480"/>
      <c r="H154" s="604">
        <f ca="1">INDIRECT("STUDENTS!AN"&amp;($R$1-1)*12+10)</f>
        <v>0</v>
      </c>
      <c r="I154" s="604"/>
      <c r="J154" s="604"/>
      <c r="K154" s="604"/>
      <c r="L154" s="604"/>
      <c r="M154" s="604"/>
      <c r="N154" s="604"/>
      <c r="O154" s="604"/>
      <c r="P154" s="604"/>
      <c r="Q154" s="604"/>
      <c r="R154" s="604"/>
      <c r="S154" s="604"/>
      <c r="T154" s="604"/>
      <c r="U154" s="604"/>
      <c r="V154" s="605"/>
      <c r="W154" s="217"/>
      <c r="X154" s="215"/>
    </row>
    <row r="155" spans="1:24" ht="15.75" customHeight="1">
      <c r="A155" s="211"/>
      <c r="B155" s="216"/>
      <c r="C155" s="520"/>
      <c r="D155" s="480"/>
      <c r="E155" s="480"/>
      <c r="F155" s="480"/>
      <c r="G155" s="480"/>
      <c r="H155" s="604"/>
      <c r="I155" s="604"/>
      <c r="J155" s="604"/>
      <c r="K155" s="604"/>
      <c r="L155" s="604"/>
      <c r="M155" s="604"/>
      <c r="N155" s="604"/>
      <c r="O155" s="604"/>
      <c r="P155" s="604"/>
      <c r="Q155" s="604"/>
      <c r="R155" s="604"/>
      <c r="S155" s="604"/>
      <c r="T155" s="604"/>
      <c r="U155" s="604"/>
      <c r="V155" s="605"/>
      <c r="W155" s="217"/>
      <c r="X155" s="215"/>
    </row>
    <row r="156" spans="1:24" ht="15.75" customHeight="1">
      <c r="A156" s="211"/>
      <c r="B156" s="216"/>
      <c r="C156" s="520"/>
      <c r="D156" s="480">
        <f>STUDENTS!AM15</f>
        <v>0</v>
      </c>
      <c r="E156" s="480"/>
      <c r="F156" s="480"/>
      <c r="G156" s="480"/>
      <c r="H156" s="603">
        <f ca="1">INDIRECT("STUDENTS!AN"&amp;($R$1-1)*12+11)</f>
        <v>0</v>
      </c>
      <c r="I156" s="603"/>
      <c r="J156" s="603"/>
      <c r="K156" s="603"/>
      <c r="L156" s="480" t="s">
        <v>13</v>
      </c>
      <c r="M156" s="480"/>
      <c r="N156" s="480"/>
      <c r="O156" s="481">
        <f ca="1">INDIRECT("STUDENTS!Ap"&amp;($R$1-1)*12+11)</f>
        <v>0</v>
      </c>
      <c r="P156" s="481"/>
      <c r="Q156" s="476" t="s">
        <v>212</v>
      </c>
      <c r="R156" s="476"/>
      <c r="S156" s="476"/>
      <c r="T156" s="481">
        <f ca="1">INDIRECT("STUDENTS!AP"&amp;($R$1-1)*12+10)</f>
        <v>0</v>
      </c>
      <c r="U156" s="481"/>
      <c r="V156" s="516"/>
      <c r="W156" s="217"/>
      <c r="X156" s="215"/>
    </row>
    <row r="157" spans="1:24" ht="15.75" customHeight="1">
      <c r="A157" s="211"/>
      <c r="B157" s="216"/>
      <c r="C157" s="520"/>
      <c r="D157" s="480" t="str">
        <f>STUDENTS!AM16</f>
        <v>શાળાનું નામ</v>
      </c>
      <c r="E157" s="480"/>
      <c r="F157" s="480"/>
      <c r="G157" s="480"/>
      <c r="H157" s="603">
        <f ca="1">INDIRECT("STUDENTS!AN"&amp;($R$1-1)*12+12)</f>
        <v>0</v>
      </c>
      <c r="I157" s="603"/>
      <c r="J157" s="603"/>
      <c r="K157" s="603"/>
      <c r="L157" s="480" t="s">
        <v>13</v>
      </c>
      <c r="M157" s="480"/>
      <c r="N157" s="480"/>
      <c r="O157" s="481">
        <f ca="1">INDIRECT("STUDENTS!Ap"&amp;($R$1-1)*12+12)</f>
        <v>0</v>
      </c>
      <c r="P157" s="481"/>
      <c r="Q157" s="476" t="s">
        <v>248</v>
      </c>
      <c r="R157" s="476"/>
      <c r="S157" s="476"/>
      <c r="T157" s="481">
        <f ca="1">INDIRECT("STUDENTS!AP"&amp;($R$1-1)*12+13)</f>
        <v>0</v>
      </c>
      <c r="U157" s="481"/>
      <c r="V157" s="516"/>
      <c r="W157" s="217"/>
      <c r="X157" s="215"/>
    </row>
    <row r="158" spans="1:24" ht="15.75" customHeight="1">
      <c r="A158" s="211"/>
      <c r="B158" s="216"/>
      <c r="C158" s="520"/>
      <c r="D158" s="480" t="str">
        <f>STUDENTS!AM22</f>
        <v>સરનામું</v>
      </c>
      <c r="E158" s="480"/>
      <c r="F158" s="480"/>
      <c r="G158" s="480"/>
      <c r="H158" s="481">
        <f ca="1">INDIRECT("STUDENTS!AN"&amp;($R$1-1)*12+13)</f>
        <v>0</v>
      </c>
      <c r="I158" s="481"/>
      <c r="J158" s="481"/>
      <c r="K158" s="481"/>
      <c r="L158" s="481"/>
      <c r="M158" s="481"/>
      <c r="N158" s="481"/>
      <c r="O158" s="481"/>
      <c r="P158" s="481"/>
      <c r="Q158" s="481"/>
      <c r="R158" s="481"/>
      <c r="S158" s="481"/>
      <c r="T158" s="481"/>
      <c r="U158" s="481"/>
      <c r="V158" s="516"/>
      <c r="W158" s="217"/>
      <c r="X158" s="215"/>
    </row>
    <row r="159" spans="1:24" ht="15.75" customHeight="1">
      <c r="A159" s="211"/>
      <c r="B159" s="216"/>
      <c r="C159" s="610"/>
      <c r="D159" s="572"/>
      <c r="E159" s="572"/>
      <c r="F159" s="572"/>
      <c r="G159" s="572"/>
      <c r="H159" s="517"/>
      <c r="I159" s="517"/>
      <c r="J159" s="517"/>
      <c r="K159" s="517"/>
      <c r="L159" s="517"/>
      <c r="M159" s="517"/>
      <c r="N159" s="517"/>
      <c r="O159" s="517"/>
      <c r="P159" s="517"/>
      <c r="Q159" s="517"/>
      <c r="R159" s="517"/>
      <c r="S159" s="517"/>
      <c r="T159" s="517"/>
      <c r="U159" s="517"/>
      <c r="V159" s="518"/>
      <c r="W159" s="217"/>
      <c r="X159" s="215"/>
    </row>
    <row r="160" spans="1:24" ht="15.75" customHeight="1">
      <c r="A160" s="211"/>
      <c r="B160" s="216"/>
      <c r="C160" s="230"/>
      <c r="D160" s="230"/>
      <c r="E160" s="230"/>
      <c r="F160" s="230"/>
      <c r="G160" s="230"/>
      <c r="H160" s="230"/>
      <c r="I160" s="230"/>
      <c r="J160" s="230"/>
      <c r="K160" s="230"/>
      <c r="L160" s="230"/>
      <c r="M160" s="230"/>
      <c r="N160" s="230"/>
      <c r="O160" s="230"/>
      <c r="P160" s="230"/>
      <c r="Q160" s="230"/>
      <c r="R160" s="230"/>
      <c r="S160" s="230"/>
      <c r="T160" s="230"/>
      <c r="U160" s="230"/>
      <c r="V160" s="230"/>
      <c r="W160" s="217"/>
      <c r="X160" s="215"/>
    </row>
    <row r="161" spans="1:24" ht="15.75" customHeight="1">
      <c r="A161" s="211"/>
      <c r="B161" s="216"/>
      <c r="C161" s="519">
        <v>3</v>
      </c>
      <c r="D161" s="606" t="str">
        <f>STUDENTS!AM22</f>
        <v>સરનામું</v>
      </c>
      <c r="E161" s="606"/>
      <c r="F161" s="606"/>
      <c r="G161" s="606"/>
      <c r="H161" s="608">
        <f ca="1">INDIRECT("STUDENTS!AS"&amp;($R$1-1)*12+4)</f>
        <v>0</v>
      </c>
      <c r="I161" s="608"/>
      <c r="J161" s="608"/>
      <c r="K161" s="608"/>
      <c r="L161" s="608"/>
      <c r="M161" s="608"/>
      <c r="N161" s="608"/>
      <c r="O161" s="608"/>
      <c r="P161" s="608"/>
      <c r="Q161" s="608"/>
      <c r="R161" s="608"/>
      <c r="S161" s="608"/>
      <c r="T161" s="608"/>
      <c r="U161" s="608"/>
      <c r="V161" s="609"/>
      <c r="W161" s="217"/>
      <c r="X161" s="215"/>
    </row>
    <row r="162" spans="1:24" ht="15.75" customHeight="1">
      <c r="A162" s="211"/>
      <c r="B162" s="216"/>
      <c r="C162" s="520"/>
      <c r="D162" s="607"/>
      <c r="E162" s="607"/>
      <c r="F162" s="607"/>
      <c r="G162" s="607"/>
      <c r="H162" s="604"/>
      <c r="I162" s="604"/>
      <c r="J162" s="604"/>
      <c r="K162" s="604"/>
      <c r="L162" s="604"/>
      <c r="M162" s="604"/>
      <c r="N162" s="604"/>
      <c r="O162" s="604"/>
      <c r="P162" s="604"/>
      <c r="Q162" s="604"/>
      <c r="R162" s="604"/>
      <c r="S162" s="604"/>
      <c r="T162" s="604"/>
      <c r="U162" s="604"/>
      <c r="V162" s="605"/>
      <c r="W162" s="217"/>
      <c r="X162" s="215"/>
    </row>
    <row r="163" spans="1:24" ht="15.75" customHeight="1">
      <c r="A163" s="211"/>
      <c r="B163" s="216"/>
      <c r="C163" s="520"/>
      <c r="D163" s="480" t="str">
        <f>STUDENTS!AM23</f>
        <v>પ્રવેશ તારીખ</v>
      </c>
      <c r="E163" s="480"/>
      <c r="F163" s="480"/>
      <c r="G163" s="480"/>
      <c r="H163" s="604">
        <f ca="1">INDIRECT("STUDENTS!AS"&amp;($R$1-1)*12+5)</f>
        <v>0</v>
      </c>
      <c r="I163" s="604"/>
      <c r="J163" s="604"/>
      <c r="K163" s="604"/>
      <c r="L163" s="604"/>
      <c r="M163" s="604"/>
      <c r="N163" s="604"/>
      <c r="O163" s="604"/>
      <c r="P163" s="604"/>
      <c r="Q163" s="604"/>
      <c r="R163" s="604"/>
      <c r="S163" s="604"/>
      <c r="T163" s="604"/>
      <c r="U163" s="604"/>
      <c r="V163" s="605"/>
      <c r="W163" s="217"/>
      <c r="X163" s="215"/>
    </row>
    <row r="164" spans="1:24" ht="15.75" customHeight="1">
      <c r="A164" s="211"/>
      <c r="B164" s="216"/>
      <c r="C164" s="520"/>
      <c r="D164" s="480"/>
      <c r="E164" s="480"/>
      <c r="F164" s="480"/>
      <c r="G164" s="480"/>
      <c r="H164" s="604"/>
      <c r="I164" s="604"/>
      <c r="J164" s="604"/>
      <c r="K164" s="604"/>
      <c r="L164" s="604"/>
      <c r="M164" s="604"/>
      <c r="N164" s="604"/>
      <c r="O164" s="604"/>
      <c r="P164" s="604"/>
      <c r="Q164" s="604"/>
      <c r="R164" s="604"/>
      <c r="S164" s="604"/>
      <c r="T164" s="604"/>
      <c r="U164" s="604"/>
      <c r="V164" s="605"/>
      <c r="W164" s="217"/>
      <c r="X164" s="215"/>
    </row>
    <row r="165" spans="1:24" ht="15.75" customHeight="1">
      <c r="A165" s="211"/>
      <c r="B165" s="216"/>
      <c r="C165" s="520"/>
      <c r="D165" s="480" t="str">
        <f>STUDENTS!AM24</f>
        <v>શા. છો.તારીખ</v>
      </c>
      <c r="E165" s="480"/>
      <c r="F165" s="480"/>
      <c r="G165" s="480"/>
      <c r="H165" s="603">
        <f ca="1">INDIRECT("STUDENTS!AS"&amp;($R$1-1)*12+6)</f>
        <v>0</v>
      </c>
      <c r="I165" s="603"/>
      <c r="J165" s="603"/>
      <c r="K165" s="603"/>
      <c r="L165" s="480" t="s">
        <v>13</v>
      </c>
      <c r="M165" s="480"/>
      <c r="N165" s="480"/>
      <c r="O165" s="481">
        <f ca="1">INDIRECT("STUDENTS!AU"&amp;($R$1-1)*12+6)</f>
        <v>0</v>
      </c>
      <c r="P165" s="481"/>
      <c r="Q165" s="476" t="s">
        <v>212</v>
      </c>
      <c r="R165" s="476"/>
      <c r="S165" s="476"/>
      <c r="T165" s="481">
        <f ca="1">INDIRECT("STUDENTS!AU"&amp;($R$1-1)*12+5)</f>
        <v>0</v>
      </c>
      <c r="U165" s="481"/>
      <c r="V165" s="516"/>
      <c r="W165" s="217"/>
      <c r="X165" s="215"/>
    </row>
    <row r="166" spans="1:24" ht="15.75" customHeight="1">
      <c r="A166" s="211"/>
      <c r="B166" s="216"/>
      <c r="C166" s="520"/>
      <c r="D166" s="480" t="str">
        <f>STUDENTS!AM25</f>
        <v>શા. છો. કારણ</v>
      </c>
      <c r="E166" s="480"/>
      <c r="F166" s="480"/>
      <c r="G166" s="480"/>
      <c r="H166" s="603">
        <f ca="1">INDIRECT("STUDENTS!AS"&amp;($R$1-1)*12+7)</f>
        <v>0</v>
      </c>
      <c r="I166" s="603"/>
      <c r="J166" s="603"/>
      <c r="K166" s="603"/>
      <c r="L166" s="480" t="s">
        <v>13</v>
      </c>
      <c r="M166" s="480"/>
      <c r="N166" s="480"/>
      <c r="O166" s="481">
        <f ca="1">INDIRECT("STUDENTS!AU"&amp;($R$1-1)*12+7)</f>
        <v>0</v>
      </c>
      <c r="P166" s="481"/>
      <c r="Q166" s="476" t="s">
        <v>248</v>
      </c>
      <c r="R166" s="476"/>
      <c r="S166" s="476"/>
      <c r="T166" s="481">
        <f ca="1">INDIRECT("STUDENTS!AU"&amp;($R$1-1)*12+8)</f>
        <v>0</v>
      </c>
      <c r="U166" s="481"/>
      <c r="V166" s="516"/>
      <c r="W166" s="217"/>
      <c r="X166" s="215"/>
    </row>
    <row r="167" spans="1:24" ht="15.75" customHeight="1">
      <c r="A167" s="211"/>
      <c r="B167" s="216"/>
      <c r="C167" s="520"/>
      <c r="D167" s="480" t="str">
        <f>STUDENTS!AM31</f>
        <v>શા. છો.તારીખ</v>
      </c>
      <c r="E167" s="480"/>
      <c r="F167" s="480"/>
      <c r="G167" s="480"/>
      <c r="H167" s="481">
        <f ca="1">INDIRECT("STUDENTS!AS"&amp;($R$1-1)*12+8)</f>
        <v>0</v>
      </c>
      <c r="I167" s="481"/>
      <c r="J167" s="481"/>
      <c r="K167" s="481"/>
      <c r="L167" s="481"/>
      <c r="M167" s="481"/>
      <c r="N167" s="481"/>
      <c r="O167" s="481"/>
      <c r="P167" s="481"/>
      <c r="Q167" s="481"/>
      <c r="R167" s="481"/>
      <c r="S167" s="481"/>
      <c r="T167" s="481"/>
      <c r="U167" s="481"/>
      <c r="V167" s="516"/>
      <c r="W167" s="217"/>
      <c r="X167" s="215"/>
    </row>
    <row r="168" spans="1:24" ht="15.75" customHeight="1">
      <c r="A168" s="211"/>
      <c r="B168" s="216"/>
      <c r="C168" s="610"/>
      <c r="D168" s="572"/>
      <c r="E168" s="572"/>
      <c r="F168" s="572"/>
      <c r="G168" s="572"/>
      <c r="H168" s="517"/>
      <c r="I168" s="517"/>
      <c r="J168" s="517"/>
      <c r="K168" s="517"/>
      <c r="L168" s="517"/>
      <c r="M168" s="517"/>
      <c r="N168" s="517"/>
      <c r="O168" s="517"/>
      <c r="P168" s="517"/>
      <c r="Q168" s="517"/>
      <c r="R168" s="517"/>
      <c r="S168" s="517"/>
      <c r="T168" s="517"/>
      <c r="U168" s="517"/>
      <c r="V168" s="518"/>
      <c r="W168" s="217"/>
      <c r="X168" s="215"/>
    </row>
    <row r="169" spans="1:24" ht="15.75" customHeight="1">
      <c r="A169" s="211"/>
      <c r="B169" s="216"/>
      <c r="C169" s="230"/>
      <c r="D169" s="230"/>
      <c r="E169" s="230"/>
      <c r="F169" s="230"/>
      <c r="G169" s="230"/>
      <c r="H169" s="230"/>
      <c r="I169" s="230"/>
      <c r="J169" s="230"/>
      <c r="K169" s="230"/>
      <c r="L169" s="230"/>
      <c r="M169" s="230"/>
      <c r="N169" s="230"/>
      <c r="O169" s="230"/>
      <c r="P169" s="230"/>
      <c r="Q169" s="230"/>
      <c r="R169" s="230"/>
      <c r="S169" s="230"/>
      <c r="T169" s="230"/>
      <c r="U169" s="230"/>
      <c r="V169" s="230"/>
      <c r="W169" s="217"/>
      <c r="X169" s="215"/>
    </row>
    <row r="170" spans="1:24" ht="15.75" customHeight="1">
      <c r="A170" s="211"/>
      <c r="B170" s="216"/>
      <c r="C170" s="519">
        <v>4</v>
      </c>
      <c r="D170" s="606" t="str">
        <f>STUDENTS!AM31</f>
        <v>શા. છો.તારીખ</v>
      </c>
      <c r="E170" s="606"/>
      <c r="F170" s="606"/>
      <c r="G170" s="606"/>
      <c r="H170" s="608">
        <f ca="1">INDIRECT("STUDENTS!AS"&amp;($R$1-1)*12+9)</f>
        <v>0</v>
      </c>
      <c r="I170" s="608"/>
      <c r="J170" s="608"/>
      <c r="K170" s="608"/>
      <c r="L170" s="608"/>
      <c r="M170" s="608"/>
      <c r="N170" s="608"/>
      <c r="O170" s="608"/>
      <c r="P170" s="608"/>
      <c r="Q170" s="608"/>
      <c r="R170" s="608"/>
      <c r="S170" s="608"/>
      <c r="T170" s="608"/>
      <c r="U170" s="608"/>
      <c r="V170" s="609"/>
      <c r="W170" s="217"/>
      <c r="X170" s="215"/>
    </row>
    <row r="171" spans="1:24" ht="15.75" customHeight="1">
      <c r="A171" s="211"/>
      <c r="B171" s="216"/>
      <c r="C171" s="520"/>
      <c r="D171" s="607"/>
      <c r="E171" s="607"/>
      <c r="F171" s="607"/>
      <c r="G171" s="607"/>
      <c r="H171" s="604"/>
      <c r="I171" s="604"/>
      <c r="J171" s="604"/>
      <c r="K171" s="604"/>
      <c r="L171" s="604"/>
      <c r="M171" s="604"/>
      <c r="N171" s="604"/>
      <c r="O171" s="604"/>
      <c r="P171" s="604"/>
      <c r="Q171" s="604"/>
      <c r="R171" s="604"/>
      <c r="S171" s="604"/>
      <c r="T171" s="604"/>
      <c r="U171" s="604"/>
      <c r="V171" s="605"/>
      <c r="W171" s="217"/>
      <c r="X171" s="215"/>
    </row>
    <row r="172" spans="1:24" ht="15.75" customHeight="1">
      <c r="A172" s="211"/>
      <c r="B172" s="216"/>
      <c r="C172" s="520"/>
      <c r="D172" s="480" t="str">
        <f>STUDENTS!AM32</f>
        <v>શા. છો. કારણ</v>
      </c>
      <c r="E172" s="480"/>
      <c r="F172" s="480"/>
      <c r="G172" s="480"/>
      <c r="H172" s="604">
        <f ca="1">INDIRECT("STUDENTS!AS"&amp;($R$1-1)*12+10)</f>
        <v>0</v>
      </c>
      <c r="I172" s="604"/>
      <c r="J172" s="604"/>
      <c r="K172" s="604"/>
      <c r="L172" s="604"/>
      <c r="M172" s="604"/>
      <c r="N172" s="604"/>
      <c r="O172" s="604"/>
      <c r="P172" s="604"/>
      <c r="Q172" s="604"/>
      <c r="R172" s="604"/>
      <c r="S172" s="604"/>
      <c r="T172" s="604"/>
      <c r="U172" s="604"/>
      <c r="V172" s="605"/>
      <c r="W172" s="217"/>
      <c r="X172" s="215"/>
    </row>
    <row r="173" spans="1:24" ht="15.75" customHeight="1">
      <c r="A173" s="211"/>
      <c r="B173" s="216"/>
      <c r="C173" s="520"/>
      <c r="D173" s="480"/>
      <c r="E173" s="480"/>
      <c r="F173" s="480"/>
      <c r="G173" s="480"/>
      <c r="H173" s="604"/>
      <c r="I173" s="604"/>
      <c r="J173" s="604"/>
      <c r="K173" s="604"/>
      <c r="L173" s="604"/>
      <c r="M173" s="604"/>
      <c r="N173" s="604"/>
      <c r="O173" s="604"/>
      <c r="P173" s="604"/>
      <c r="Q173" s="604"/>
      <c r="R173" s="604"/>
      <c r="S173" s="604"/>
      <c r="T173" s="604"/>
      <c r="U173" s="604"/>
      <c r="V173" s="605"/>
      <c r="W173" s="217"/>
      <c r="X173" s="215"/>
    </row>
    <row r="174" spans="1:24" ht="15.75" customHeight="1">
      <c r="A174" s="211"/>
      <c r="B174" s="216"/>
      <c r="C174" s="520"/>
      <c r="D174" s="480" t="str">
        <f>STUDENTS!AM33</f>
        <v>શાળાનું નામ</v>
      </c>
      <c r="E174" s="480"/>
      <c r="F174" s="480"/>
      <c r="G174" s="480"/>
      <c r="H174" s="603">
        <f ca="1">INDIRECT("STUDENTS!AS"&amp;($R$1-1)*12+11)</f>
        <v>0</v>
      </c>
      <c r="I174" s="603"/>
      <c r="J174" s="603"/>
      <c r="K174" s="603"/>
      <c r="L174" s="480" t="s">
        <v>13</v>
      </c>
      <c r="M174" s="480"/>
      <c r="N174" s="480"/>
      <c r="O174" s="481">
        <f ca="1">INDIRECT("STUDENTS!AU"&amp;($R$1-1)*12+11)</f>
        <v>0</v>
      </c>
      <c r="P174" s="481"/>
      <c r="Q174" s="476" t="s">
        <v>212</v>
      </c>
      <c r="R174" s="476"/>
      <c r="S174" s="476"/>
      <c r="T174" s="481">
        <f ca="1">INDIRECT("STUDENTS!AU"&amp;($R$1-1)*12+10)</f>
        <v>0</v>
      </c>
      <c r="U174" s="481"/>
      <c r="V174" s="516"/>
      <c r="W174" s="217"/>
      <c r="X174" s="215"/>
    </row>
    <row r="175" spans="1:24" ht="15.75" customHeight="1">
      <c r="A175" s="211"/>
      <c r="B175" s="216"/>
      <c r="C175" s="520"/>
      <c r="D175" s="480" t="str">
        <f>STUDENTS!AM34</f>
        <v>સરનામું</v>
      </c>
      <c r="E175" s="480"/>
      <c r="F175" s="480"/>
      <c r="G175" s="480"/>
      <c r="H175" s="603">
        <f ca="1">INDIRECT("STUDENTS!AS"&amp;($R$1-1)*12+12)</f>
        <v>0</v>
      </c>
      <c r="I175" s="603"/>
      <c r="J175" s="603"/>
      <c r="K175" s="603"/>
      <c r="L175" s="480" t="s">
        <v>13</v>
      </c>
      <c r="M175" s="480"/>
      <c r="N175" s="480"/>
      <c r="O175" s="481">
        <f ca="1">INDIRECT("STUDENTS!AU"&amp;($R$1-1)*12+12)</f>
        <v>0</v>
      </c>
      <c r="P175" s="481"/>
      <c r="Q175" s="476" t="s">
        <v>248</v>
      </c>
      <c r="R175" s="476"/>
      <c r="S175" s="476"/>
      <c r="T175" s="481">
        <f ca="1">INDIRECT("STUDENTS!AU"&amp;($R$1-1)*12+13)</f>
        <v>0</v>
      </c>
      <c r="U175" s="481"/>
      <c r="V175" s="516"/>
      <c r="W175" s="217"/>
      <c r="X175" s="215"/>
    </row>
    <row r="176" spans="1:24" ht="15.75" customHeight="1">
      <c r="A176" s="211"/>
      <c r="B176" s="216"/>
      <c r="C176" s="520"/>
      <c r="D176" s="480" t="str">
        <f>STUDENTS!AM40</f>
        <v>શાળાનું નામ</v>
      </c>
      <c r="E176" s="480"/>
      <c r="F176" s="480"/>
      <c r="G176" s="480"/>
      <c r="H176" s="481">
        <f ca="1">INDIRECT("STUDENTS!AS"&amp;($R$1-1)*12+13)</f>
        <v>0</v>
      </c>
      <c r="I176" s="481"/>
      <c r="J176" s="481"/>
      <c r="K176" s="481"/>
      <c r="L176" s="481"/>
      <c r="M176" s="481"/>
      <c r="N176" s="481"/>
      <c r="O176" s="481"/>
      <c r="P176" s="481"/>
      <c r="Q176" s="481"/>
      <c r="R176" s="481"/>
      <c r="S176" s="481"/>
      <c r="T176" s="481"/>
      <c r="U176" s="481"/>
      <c r="V176" s="516"/>
      <c r="W176" s="217"/>
      <c r="X176" s="215"/>
    </row>
    <row r="177" spans="1:24" ht="15.75" customHeight="1">
      <c r="A177" s="211"/>
      <c r="B177" s="216"/>
      <c r="C177" s="610"/>
      <c r="D177" s="572"/>
      <c r="E177" s="572"/>
      <c r="F177" s="572"/>
      <c r="G177" s="572"/>
      <c r="H177" s="517"/>
      <c r="I177" s="517"/>
      <c r="J177" s="517"/>
      <c r="K177" s="517"/>
      <c r="L177" s="517"/>
      <c r="M177" s="517"/>
      <c r="N177" s="517"/>
      <c r="O177" s="517"/>
      <c r="P177" s="517"/>
      <c r="Q177" s="517"/>
      <c r="R177" s="517"/>
      <c r="S177" s="517"/>
      <c r="T177" s="517"/>
      <c r="U177" s="517"/>
      <c r="V177" s="518"/>
      <c r="W177" s="217"/>
      <c r="X177" s="215"/>
    </row>
    <row r="178" spans="1:24" ht="15.75" customHeight="1">
      <c r="A178" s="211"/>
      <c r="B178" s="216"/>
      <c r="C178" s="230"/>
      <c r="D178" s="230"/>
      <c r="E178" s="230"/>
      <c r="F178" s="230"/>
      <c r="G178" s="230"/>
      <c r="H178" s="230"/>
      <c r="I178" s="230"/>
      <c r="J178" s="230"/>
      <c r="K178" s="230"/>
      <c r="L178" s="230"/>
      <c r="M178" s="230"/>
      <c r="N178" s="230"/>
      <c r="O178" s="230"/>
      <c r="P178" s="230"/>
      <c r="Q178" s="230"/>
      <c r="R178" s="230"/>
      <c r="S178" s="230"/>
      <c r="T178" s="230"/>
      <c r="U178" s="230"/>
      <c r="V178" s="230"/>
      <c r="W178" s="217"/>
      <c r="X178" s="215"/>
    </row>
    <row r="179" spans="1:24" ht="15.75" customHeight="1">
      <c r="A179" s="211"/>
      <c r="B179" s="216"/>
      <c r="C179" s="230"/>
      <c r="D179" s="230"/>
      <c r="E179" s="233"/>
      <c r="F179" s="233"/>
      <c r="G179" s="233"/>
      <c r="H179" s="233"/>
      <c r="I179" s="233"/>
      <c r="J179" s="233"/>
      <c r="K179" s="233"/>
      <c r="L179" s="233"/>
      <c r="M179" s="233"/>
      <c r="N179" s="233"/>
      <c r="O179" s="233"/>
      <c r="P179" s="233"/>
      <c r="Q179" s="234"/>
      <c r="R179" s="234"/>
      <c r="S179" s="234"/>
      <c r="T179" s="230"/>
      <c r="U179" s="230"/>
      <c r="V179" s="230"/>
      <c r="W179" s="217"/>
      <c r="X179" s="215"/>
    </row>
    <row r="180" spans="1:24" ht="15.75" customHeight="1">
      <c r="A180" s="211"/>
      <c r="B180" s="216"/>
      <c r="C180" s="230"/>
      <c r="D180" s="230"/>
      <c r="E180" s="233"/>
      <c r="F180" s="233"/>
      <c r="G180" s="233"/>
      <c r="H180" s="233"/>
      <c r="I180" s="233"/>
      <c r="J180" s="233"/>
      <c r="K180" s="233"/>
      <c r="L180" s="233"/>
      <c r="M180" s="233"/>
      <c r="N180" s="233"/>
      <c r="O180" s="233"/>
      <c r="P180" s="233"/>
      <c r="Q180" s="234"/>
      <c r="R180" s="234"/>
      <c r="S180" s="234"/>
      <c r="T180" s="230"/>
      <c r="U180" s="230"/>
      <c r="V180" s="230"/>
      <c r="W180" s="217"/>
      <c r="X180" s="215"/>
    </row>
    <row r="181" spans="1:24" ht="15.75" customHeight="1">
      <c r="A181" s="211"/>
      <c r="B181" s="216"/>
      <c r="C181" s="230"/>
      <c r="D181" s="230"/>
      <c r="E181" s="233"/>
      <c r="F181" s="233"/>
      <c r="G181" s="233"/>
      <c r="H181" s="233"/>
      <c r="I181" s="233"/>
      <c r="J181" s="233"/>
      <c r="K181" s="233"/>
      <c r="L181" s="233"/>
      <c r="M181" s="233"/>
      <c r="N181" s="233"/>
      <c r="O181" s="233"/>
      <c r="P181" s="233"/>
      <c r="Q181" s="234"/>
      <c r="R181" s="234"/>
      <c r="S181" s="234"/>
      <c r="T181" s="230"/>
      <c r="U181" s="230"/>
      <c r="V181" s="230"/>
      <c r="W181" s="217"/>
      <c r="X181" s="215"/>
    </row>
    <row r="182" spans="1:24" ht="15.75" customHeight="1">
      <c r="A182" s="211"/>
      <c r="B182" s="216"/>
      <c r="C182" s="230"/>
      <c r="D182" s="230"/>
      <c r="E182" s="230"/>
      <c r="F182" s="230"/>
      <c r="G182" s="230"/>
      <c r="H182" s="230"/>
      <c r="I182" s="230"/>
      <c r="J182" s="230"/>
      <c r="K182" s="230"/>
      <c r="L182" s="230"/>
      <c r="M182" s="230"/>
      <c r="N182" s="230"/>
      <c r="O182" s="230"/>
      <c r="P182" s="230"/>
      <c r="Q182" s="230"/>
      <c r="R182" s="230"/>
      <c r="S182" s="230"/>
      <c r="T182" s="230"/>
      <c r="U182" s="230"/>
      <c r="V182" s="230"/>
      <c r="W182" s="217"/>
      <c r="X182" s="215"/>
    </row>
    <row r="183" spans="1:24" ht="27.75" customHeight="1" thickBot="1">
      <c r="A183" s="211"/>
      <c r="B183" s="223"/>
      <c r="C183" s="224"/>
      <c r="D183" s="224"/>
      <c r="E183" s="224"/>
      <c r="F183" s="224"/>
      <c r="G183" s="224"/>
      <c r="H183" s="224"/>
      <c r="I183" s="224"/>
      <c r="J183" s="224"/>
      <c r="K183" s="224"/>
      <c r="L183" s="224"/>
      <c r="M183" s="224"/>
      <c r="N183" s="224"/>
      <c r="O183" s="224"/>
      <c r="P183" s="224"/>
      <c r="Q183" s="224"/>
      <c r="R183" s="224"/>
      <c r="S183" s="224"/>
      <c r="T183" s="224"/>
      <c r="U183" s="224"/>
      <c r="V183" s="224"/>
      <c r="W183" s="225"/>
      <c r="X183" s="215"/>
    </row>
    <row r="184" spans="1:24" ht="15" customHeight="1">
      <c r="A184" s="226"/>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8"/>
    </row>
  </sheetData>
  <sheetProtection password="CCF1" sheet="1" objects="1" scenarios="1"/>
  <mergeCells count="433">
    <mergeCell ref="AA1:AT1"/>
    <mergeCell ref="D143:G144"/>
    <mergeCell ref="D145:G146"/>
    <mergeCell ref="D147:G147"/>
    <mergeCell ref="D148:G148"/>
    <mergeCell ref="D149:G150"/>
    <mergeCell ref="C143:C150"/>
    <mergeCell ref="H143:V144"/>
    <mergeCell ref="H145:V146"/>
    <mergeCell ref="L147:N147"/>
    <mergeCell ref="L148:N148"/>
    <mergeCell ref="O147:P147"/>
    <mergeCell ref="O148:P148"/>
    <mergeCell ref="H149:V150"/>
    <mergeCell ref="Q147:S147"/>
    <mergeCell ref="Q148:S148"/>
    <mergeCell ref="T147:V147"/>
    <mergeCell ref="T148:V148"/>
    <mergeCell ref="H147:K147"/>
    <mergeCell ref="H148:K148"/>
    <mergeCell ref="C142:V142"/>
    <mergeCell ref="AA130:AB132"/>
    <mergeCell ref="AC130:AH132"/>
    <mergeCell ref="AI130:AN132"/>
    <mergeCell ref="D167:G168"/>
    <mergeCell ref="H167:V168"/>
    <mergeCell ref="D158:G159"/>
    <mergeCell ref="H158:V159"/>
    <mergeCell ref="L166:N166"/>
    <mergeCell ref="D170:G171"/>
    <mergeCell ref="C152:C159"/>
    <mergeCell ref="D152:G153"/>
    <mergeCell ref="H152:V153"/>
    <mergeCell ref="D157:G157"/>
    <mergeCell ref="H157:K157"/>
    <mergeCell ref="L157:N157"/>
    <mergeCell ref="O157:P157"/>
    <mergeCell ref="Q157:S157"/>
    <mergeCell ref="T157:V157"/>
    <mergeCell ref="C161:C168"/>
    <mergeCell ref="H163:V164"/>
    <mergeCell ref="D165:G165"/>
    <mergeCell ref="H165:K165"/>
    <mergeCell ref="L165:N165"/>
    <mergeCell ref="O165:P165"/>
    <mergeCell ref="Q165:S165"/>
    <mergeCell ref="T165:V165"/>
    <mergeCell ref="D156:G156"/>
    <mergeCell ref="C170:C177"/>
    <mergeCell ref="H170:V171"/>
    <mergeCell ref="D172:G173"/>
    <mergeCell ref="H172:V173"/>
    <mergeCell ref="D174:G174"/>
    <mergeCell ref="H174:K174"/>
    <mergeCell ref="L174:N174"/>
    <mergeCell ref="O174:P174"/>
    <mergeCell ref="Q174:S174"/>
    <mergeCell ref="T174:V174"/>
    <mergeCell ref="D175:G175"/>
    <mergeCell ref="H175:K175"/>
    <mergeCell ref="L175:N175"/>
    <mergeCell ref="O175:P175"/>
    <mergeCell ref="Q175:S175"/>
    <mergeCell ref="T175:V175"/>
    <mergeCell ref="D176:G177"/>
    <mergeCell ref="H176:V177"/>
    <mergeCell ref="C134:E136"/>
    <mergeCell ref="F134:F136"/>
    <mergeCell ref="G134:N136"/>
    <mergeCell ref="O134:V136"/>
    <mergeCell ref="D166:G166"/>
    <mergeCell ref="H166:K166"/>
    <mergeCell ref="O166:P166"/>
    <mergeCell ref="Q166:S166"/>
    <mergeCell ref="T166:V166"/>
    <mergeCell ref="D163:G164"/>
    <mergeCell ref="H156:K156"/>
    <mergeCell ref="L156:N156"/>
    <mergeCell ref="O156:P156"/>
    <mergeCell ref="Q156:S156"/>
    <mergeCell ref="T156:V156"/>
    <mergeCell ref="D154:G155"/>
    <mergeCell ref="H154:V155"/>
    <mergeCell ref="D161:G162"/>
    <mergeCell ref="H161:V162"/>
    <mergeCell ref="AF121:AH122"/>
    <mergeCell ref="AO130:AQ132"/>
    <mergeCell ref="AR130:AT132"/>
    <mergeCell ref="AA133:AB135"/>
    <mergeCell ref="AC133:AH135"/>
    <mergeCell ref="AI133:AN135"/>
    <mergeCell ref="AO133:AQ135"/>
    <mergeCell ref="AR133:AT135"/>
    <mergeCell ref="AA127:AB129"/>
    <mergeCell ref="AC127:AH129"/>
    <mergeCell ref="AI127:AN129"/>
    <mergeCell ref="AO127:AQ129"/>
    <mergeCell ref="C128:E130"/>
    <mergeCell ref="F128:F130"/>
    <mergeCell ref="G128:N130"/>
    <mergeCell ref="O128:V130"/>
    <mergeCell ref="C114:E117"/>
    <mergeCell ref="F114:F117"/>
    <mergeCell ref="G114:N117"/>
    <mergeCell ref="O114:V117"/>
    <mergeCell ref="C122:E124"/>
    <mergeCell ref="F122:F124"/>
    <mergeCell ref="G122:N124"/>
    <mergeCell ref="O122:V124"/>
    <mergeCell ref="C125:E127"/>
    <mergeCell ref="F125:F127"/>
    <mergeCell ref="G125:N127"/>
    <mergeCell ref="O125:V127"/>
    <mergeCell ref="AI125:AN126"/>
    <mergeCell ref="AR127:AT129"/>
    <mergeCell ref="AR107:AT108"/>
    <mergeCell ref="AA110:AT110"/>
    <mergeCell ref="AA111:AB112"/>
    <mergeCell ref="AC111:AE112"/>
    <mergeCell ref="AF111:AH112"/>
    <mergeCell ref="AI111:AK112"/>
    <mergeCell ref="AL111:AN112"/>
    <mergeCell ref="AO111:AQ112"/>
    <mergeCell ref="AR111:AT112"/>
    <mergeCell ref="AA107:AB108"/>
    <mergeCell ref="AC107:AE108"/>
    <mergeCell ref="AF107:AH108"/>
    <mergeCell ref="AI107:AK108"/>
    <mergeCell ref="AL107:AN108"/>
    <mergeCell ref="AO107:AQ108"/>
    <mergeCell ref="AA115:AB116"/>
    <mergeCell ref="AC115:AE116"/>
    <mergeCell ref="AF115:AH116"/>
    <mergeCell ref="AI115:AK116"/>
    <mergeCell ref="AL115:AN116"/>
    <mergeCell ref="AA121:AB122"/>
    <mergeCell ref="AC121:AE122"/>
    <mergeCell ref="AI101:AK102"/>
    <mergeCell ref="AL101:AN102"/>
    <mergeCell ref="AO101:AQ102"/>
    <mergeCell ref="AR101:AT102"/>
    <mergeCell ref="AF113:AH114"/>
    <mergeCell ref="AI113:AK114"/>
    <mergeCell ref="AL113:AN114"/>
    <mergeCell ref="AO113:AQ114"/>
    <mergeCell ref="AI99:AK100"/>
    <mergeCell ref="AL99:AN100"/>
    <mergeCell ref="AO99:AQ100"/>
    <mergeCell ref="AR113:AT114"/>
    <mergeCell ref="AI103:AK104"/>
    <mergeCell ref="AL103:AN104"/>
    <mergeCell ref="AO103:AQ104"/>
    <mergeCell ref="C96:V96"/>
    <mergeCell ref="C97:E97"/>
    <mergeCell ref="G97:N97"/>
    <mergeCell ref="O97:V97"/>
    <mergeCell ref="C98:E101"/>
    <mergeCell ref="F98:F101"/>
    <mergeCell ref="G98:N101"/>
    <mergeCell ref="O98:V101"/>
    <mergeCell ref="C102:E105"/>
    <mergeCell ref="F102:F105"/>
    <mergeCell ref="G102:N105"/>
    <mergeCell ref="O102:V105"/>
    <mergeCell ref="C52:E52"/>
    <mergeCell ref="G52:N52"/>
    <mergeCell ref="O52:V52"/>
    <mergeCell ref="C53:E56"/>
    <mergeCell ref="F53:F56"/>
    <mergeCell ref="G53:N56"/>
    <mergeCell ref="O53:V56"/>
    <mergeCell ref="C57:E60"/>
    <mergeCell ref="F57:F60"/>
    <mergeCell ref="G57:N60"/>
    <mergeCell ref="O57:V60"/>
    <mergeCell ref="C61:E64"/>
    <mergeCell ref="F61:F64"/>
    <mergeCell ref="G61:N64"/>
    <mergeCell ref="O61:V64"/>
    <mergeCell ref="C65:E68"/>
    <mergeCell ref="F65:F68"/>
    <mergeCell ref="G65:N68"/>
    <mergeCell ref="O65:V68"/>
    <mergeCell ref="C69:E72"/>
    <mergeCell ref="F69:F72"/>
    <mergeCell ref="G69:N72"/>
    <mergeCell ref="O69:V72"/>
    <mergeCell ref="C73:E76"/>
    <mergeCell ref="F73:F76"/>
    <mergeCell ref="G73:N76"/>
    <mergeCell ref="O73:V76"/>
    <mergeCell ref="C77:E79"/>
    <mergeCell ref="F77:F79"/>
    <mergeCell ref="G77:N79"/>
    <mergeCell ref="O77:V79"/>
    <mergeCell ref="F80:F82"/>
    <mergeCell ref="G80:N82"/>
    <mergeCell ref="O80:V82"/>
    <mergeCell ref="C83:E85"/>
    <mergeCell ref="F83:F85"/>
    <mergeCell ref="G83:N85"/>
    <mergeCell ref="O83:V85"/>
    <mergeCell ref="C86:E88"/>
    <mergeCell ref="F86:F88"/>
    <mergeCell ref="G86:N88"/>
    <mergeCell ref="O86:V88"/>
    <mergeCell ref="AA51:AT51"/>
    <mergeCell ref="AA52:AC52"/>
    <mergeCell ref="AE52:AL52"/>
    <mergeCell ref="AM52:AT52"/>
    <mergeCell ref="AA53:AC56"/>
    <mergeCell ref="AD53:AD56"/>
    <mergeCell ref="AE53:AL56"/>
    <mergeCell ref="AM53:AT56"/>
    <mergeCell ref="AD57:AD60"/>
    <mergeCell ref="AE57:AL60"/>
    <mergeCell ref="AM57:AT60"/>
    <mergeCell ref="AA69:AC72"/>
    <mergeCell ref="AD69:AD72"/>
    <mergeCell ref="AE69:AL72"/>
    <mergeCell ref="AM69:AT72"/>
    <mergeCell ref="AA57:AC60"/>
    <mergeCell ref="AA73:AC76"/>
    <mergeCell ref="AD73:AD76"/>
    <mergeCell ref="AE73:AL76"/>
    <mergeCell ref="AM73:AT76"/>
    <mergeCell ref="AA61:AC64"/>
    <mergeCell ref="AD61:AD64"/>
    <mergeCell ref="AE61:AL64"/>
    <mergeCell ref="AM61:AT64"/>
    <mergeCell ref="AA65:AC68"/>
    <mergeCell ref="AD65:AD68"/>
    <mergeCell ref="AE65:AL68"/>
    <mergeCell ref="AM65:AT68"/>
    <mergeCell ref="AA77:AC79"/>
    <mergeCell ref="AD77:AD79"/>
    <mergeCell ref="AE77:AL79"/>
    <mergeCell ref="AM77:AT79"/>
    <mergeCell ref="AA80:AC82"/>
    <mergeCell ref="AD80:AD82"/>
    <mergeCell ref="AE80:AL82"/>
    <mergeCell ref="AM80:AT82"/>
    <mergeCell ref="AA83:AC85"/>
    <mergeCell ref="AD83:AD85"/>
    <mergeCell ref="AE83:AL85"/>
    <mergeCell ref="AM83:AT85"/>
    <mergeCell ref="AA86:AC88"/>
    <mergeCell ref="AD86:AD88"/>
    <mergeCell ref="AE86:AL88"/>
    <mergeCell ref="AM86:AT88"/>
    <mergeCell ref="AA89:AC91"/>
    <mergeCell ref="AD89:AD91"/>
    <mergeCell ref="AE89:AL91"/>
    <mergeCell ref="AM89:AT91"/>
    <mergeCell ref="C22:V23"/>
    <mergeCell ref="AO35:AT35"/>
    <mergeCell ref="AA36:AB36"/>
    <mergeCell ref="AC36:AH36"/>
    <mergeCell ref="AI36:AN36"/>
    <mergeCell ref="AO36:AT36"/>
    <mergeCell ref="AA32:AT32"/>
    <mergeCell ref="AA33:AB33"/>
    <mergeCell ref="AC33:AH33"/>
    <mergeCell ref="AI33:AN33"/>
    <mergeCell ref="AO33:AT33"/>
    <mergeCell ref="AA34:AB34"/>
    <mergeCell ref="AC40:AH40"/>
    <mergeCell ref="AI40:AN40"/>
    <mergeCell ref="AO40:AT40"/>
    <mergeCell ref="AA41:AB41"/>
    <mergeCell ref="C7:V8"/>
    <mergeCell ref="C5:V6"/>
    <mergeCell ref="C118:E121"/>
    <mergeCell ref="F118:F121"/>
    <mergeCell ref="G118:N121"/>
    <mergeCell ref="O118:V121"/>
    <mergeCell ref="E32:H33"/>
    <mergeCell ref="E34:H35"/>
    <mergeCell ref="C24:V25"/>
    <mergeCell ref="J19:P20"/>
    <mergeCell ref="C27:V28"/>
    <mergeCell ref="C29:D30"/>
    <mergeCell ref="E29:H30"/>
    <mergeCell ref="I29:J30"/>
    <mergeCell ref="K29:O30"/>
    <mergeCell ref="P29:Q30"/>
    <mergeCell ref="R29:V30"/>
    <mergeCell ref="C9:V10"/>
    <mergeCell ref="C89:E91"/>
    <mergeCell ref="F89:F91"/>
    <mergeCell ref="G89:N91"/>
    <mergeCell ref="O89:V91"/>
    <mergeCell ref="C51:V51"/>
    <mergeCell ref="C80:E82"/>
    <mergeCell ref="AA96:AT96"/>
    <mergeCell ref="AA117:AB118"/>
    <mergeCell ref="AC117:AE118"/>
    <mergeCell ref="AF117:AH118"/>
    <mergeCell ref="AI117:AK118"/>
    <mergeCell ref="AL117:AN118"/>
    <mergeCell ref="AA97:AB98"/>
    <mergeCell ref="AC97:AE98"/>
    <mergeCell ref="AF97:AH98"/>
    <mergeCell ref="AO117:AQ118"/>
    <mergeCell ref="AR117:AT118"/>
    <mergeCell ref="AO115:AQ116"/>
    <mergeCell ref="AR115:AT116"/>
    <mergeCell ref="AA113:AB114"/>
    <mergeCell ref="AC113:AE114"/>
    <mergeCell ref="AR103:AT104"/>
    <mergeCell ref="AF105:AH106"/>
    <mergeCell ref="AI105:AK106"/>
    <mergeCell ref="AL105:AN106"/>
    <mergeCell ref="AO105:AQ106"/>
    <mergeCell ref="AR99:AT100"/>
    <mergeCell ref="AA101:AB102"/>
    <mergeCell ref="AC101:AE102"/>
    <mergeCell ref="AF101:AH102"/>
    <mergeCell ref="AF103:AH104"/>
    <mergeCell ref="AA119:AB120"/>
    <mergeCell ref="AC119:AE120"/>
    <mergeCell ref="AF119:AH120"/>
    <mergeCell ref="AI119:AK120"/>
    <mergeCell ref="AL119:AN120"/>
    <mergeCell ref="AO119:AQ120"/>
    <mergeCell ref="AR119:AT120"/>
    <mergeCell ref="C131:E133"/>
    <mergeCell ref="F131:F133"/>
    <mergeCell ref="G131:N133"/>
    <mergeCell ref="O131:V133"/>
    <mergeCell ref="C106:E109"/>
    <mergeCell ref="F106:F109"/>
    <mergeCell ref="G106:N109"/>
    <mergeCell ref="O106:V109"/>
    <mergeCell ref="C110:E113"/>
    <mergeCell ref="F110:F113"/>
    <mergeCell ref="G110:N113"/>
    <mergeCell ref="O110:V113"/>
    <mergeCell ref="AA105:AB106"/>
    <mergeCell ref="AC105:AE106"/>
    <mergeCell ref="AR125:AT126"/>
    <mergeCell ref="AC125:AH126"/>
    <mergeCell ref="AB14:AH14"/>
    <mergeCell ref="AI13:AT13"/>
    <mergeCell ref="AI14:AT14"/>
    <mergeCell ref="AR121:AT122"/>
    <mergeCell ref="AA124:AT124"/>
    <mergeCell ref="AA125:AB126"/>
    <mergeCell ref="AA20:AT20"/>
    <mergeCell ref="AB15:AH15"/>
    <mergeCell ref="AB16:AH16"/>
    <mergeCell ref="AB18:AH18"/>
    <mergeCell ref="AB27:AH27"/>
    <mergeCell ref="AI27:AT27"/>
    <mergeCell ref="AB28:AH28"/>
    <mergeCell ref="AI28:AT28"/>
    <mergeCell ref="AB29:AH29"/>
    <mergeCell ref="AI29:AT29"/>
    <mergeCell ref="AC34:AH34"/>
    <mergeCell ref="AI34:AN34"/>
    <mergeCell ref="AO34:AT34"/>
    <mergeCell ref="AB30:AH30"/>
    <mergeCell ref="AI30:AT30"/>
    <mergeCell ref="AR105:AT106"/>
    <mergeCell ref="AA103:AB104"/>
    <mergeCell ref="AC103:AE104"/>
    <mergeCell ref="AB10:AH10"/>
    <mergeCell ref="C4:V4"/>
    <mergeCell ref="AB11:AH11"/>
    <mergeCell ref="AB12:AH12"/>
    <mergeCell ref="AB13:AH13"/>
    <mergeCell ref="AO125:AQ126"/>
    <mergeCell ref="AA5:AT5"/>
    <mergeCell ref="AB6:AH6"/>
    <mergeCell ref="AB7:AH7"/>
    <mergeCell ref="AB8:AH8"/>
    <mergeCell ref="AB9:AH9"/>
    <mergeCell ref="AI97:AK98"/>
    <mergeCell ref="AL97:AN98"/>
    <mergeCell ref="M34:P35"/>
    <mergeCell ref="I34:L35"/>
    <mergeCell ref="Q34:T35"/>
    <mergeCell ref="AI16:AT16"/>
    <mergeCell ref="AI18:AT18"/>
    <mergeCell ref="AB17:AH17"/>
    <mergeCell ref="AI17:AT17"/>
    <mergeCell ref="AB25:AH25"/>
    <mergeCell ref="AI121:AK122"/>
    <mergeCell ref="AL121:AN122"/>
    <mergeCell ref="AO121:AQ122"/>
    <mergeCell ref="R1:S1"/>
    <mergeCell ref="I1:Q1"/>
    <mergeCell ref="AA99:AB100"/>
    <mergeCell ref="AC99:AE100"/>
    <mergeCell ref="AI12:AT12"/>
    <mergeCell ref="I32:T33"/>
    <mergeCell ref="AO97:AQ98"/>
    <mergeCell ref="AR97:AT98"/>
    <mergeCell ref="AF99:AH100"/>
    <mergeCell ref="AI6:AT6"/>
    <mergeCell ref="AI7:AT7"/>
    <mergeCell ref="AI8:AT8"/>
    <mergeCell ref="AI9:AT9"/>
    <mergeCell ref="AI10:AT10"/>
    <mergeCell ref="AI11:AT11"/>
    <mergeCell ref="AI15:AT15"/>
    <mergeCell ref="AB21:AH21"/>
    <mergeCell ref="AI21:AT21"/>
    <mergeCell ref="AB22:AH22"/>
    <mergeCell ref="AI22:AT22"/>
    <mergeCell ref="AB23:AH23"/>
    <mergeCell ref="AA35:AB35"/>
    <mergeCell ref="AC35:AH35"/>
    <mergeCell ref="AI35:AN35"/>
    <mergeCell ref="AI23:AT23"/>
    <mergeCell ref="AB24:AH24"/>
    <mergeCell ref="AI24:AT24"/>
    <mergeCell ref="AC41:AH41"/>
    <mergeCell ref="AI41:AN41"/>
    <mergeCell ref="AO41:AT41"/>
    <mergeCell ref="AA42:AB42"/>
    <mergeCell ref="AC42:AH42"/>
    <mergeCell ref="AI42:AN42"/>
    <mergeCell ref="AO42:AT42"/>
    <mergeCell ref="AA38:AT38"/>
    <mergeCell ref="AA39:AB39"/>
    <mergeCell ref="AC39:AH39"/>
    <mergeCell ref="AI39:AN39"/>
    <mergeCell ref="AO39:AT39"/>
    <mergeCell ref="AA40:AB40"/>
    <mergeCell ref="AI25:AT25"/>
    <mergeCell ref="AB26:AH26"/>
    <mergeCell ref="AI26:AT26"/>
  </mergeCells>
  <dataValidations count="1">
    <dataValidation type="list" allowBlank="1" showInputMessage="1" showErrorMessage="1" sqref="R1">
      <formula1>ROLLNO</formula1>
    </dataValidation>
  </dataValidations>
  <pageMargins left="0.70866141732283472" right="0.70866141732283472" top="0.74803149606299213" bottom="0.74803149606299213" header="0.31496062992125984" footer="0.31496062992125984"/>
  <pageSetup paperSize="9" scale="99" pageOrder="overThenDown" orientation="portrait" horizontalDpi="4294967292" verticalDpi="300" r:id="rId1"/>
  <rowBreaks count="2" manualBreakCount="2">
    <brk id="48" max="47" man="1"/>
    <brk id="93" max="16383" man="1"/>
  </rowBreaks>
  <colBreaks count="1" manualBreakCount="1">
    <brk id="24" min="2" max="1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INDEX</vt:lpstr>
      <vt:lpstr>SCHOOL</vt:lpstr>
      <vt:lpstr>STUDENTS</vt:lpstr>
      <vt:lpstr>A-RACHNATMAK</vt:lpstr>
      <vt:lpstr>B-VV</vt:lpstr>
      <vt:lpstr>C-TITLE</vt:lpstr>
      <vt:lpstr>C-PARINAM</vt:lpstr>
      <vt:lpstr>F-PRAGATIPATRAK</vt:lpstr>
      <vt:lpstr>AENG</vt:lpstr>
      <vt:lpstr>AGUJ</vt:lpstr>
      <vt:lpstr>AHIN</vt:lpstr>
      <vt:lpstr>AINDEX</vt:lpstr>
      <vt:lpstr>AMATH</vt:lpstr>
      <vt:lpstr>ASAN</vt:lpstr>
      <vt:lpstr>ASCI</vt:lpstr>
      <vt:lpstr>ASS</vt:lpstr>
      <vt:lpstr>BPAGE1</vt:lpstr>
      <vt:lpstr>BPAGE2</vt:lpstr>
      <vt:lpstr>DATA</vt:lpstr>
      <vt:lpstr>DATA1</vt:lpstr>
      <vt:lpstr>'A-RACHNATMAK'!Print_Area</vt:lpstr>
      <vt:lpstr>'C-PARINAM'!Print_Area</vt:lpstr>
      <vt:lpstr>'F-PRAGATIPATRAK'!Print_Area</vt:lpstr>
      <vt:lpstr>SCHOOL!Print_Area</vt:lpstr>
      <vt:lpstr>ROLLNO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Naresh</dc:creator>
  <cp:lastModifiedBy>K.G.Parmar</cp:lastModifiedBy>
  <cp:lastPrinted>2012-06-15T03:25:09Z</cp:lastPrinted>
  <dcterms:created xsi:type="dcterms:W3CDTF">2012-06-05T17:45:01Z</dcterms:created>
  <dcterms:modified xsi:type="dcterms:W3CDTF">2012-06-15T03:27:19Z</dcterms:modified>
</cp:coreProperties>
</file>